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Менеджер ФРП КО\Desktop\"/>
    </mc:Choice>
  </mc:AlternateContent>
  <xr:revisionPtr revIDLastSave="0" documentId="13_ncr:1_{59648243-E197-46A2-B7C0-E295D4E0750C}" xr6:coauthVersionLast="47" xr6:coauthVersionMax="47" xr10:uidLastSave="{00000000-0000-0000-0000-000000000000}"/>
  <bookViews>
    <workbookView xWindow="-120" yWindow="-120" windowWidth="29040" windowHeight="15840" tabRatio="838" activeTab="3" xr2:uid="{00000000-000D-0000-FFFF-FFFF00000000}"/>
  </bookViews>
  <sheets>
    <sheet name="Титульный лист" sheetId="1" r:id="rId1"/>
    <sheet name="Программы финансирования" sheetId="2" r:id="rId2"/>
    <sheet name="справочник" sheetId="7" state="hidden" r:id="rId3"/>
    <sheet name="Руководство" sheetId="3" r:id="rId4"/>
    <sheet name="Параметры займа" sheetId="4" r:id="rId5"/>
    <sheet name="Предпосылки" sheetId="8" r:id="rId6"/>
    <sheet name="Квартальная отчетность" sheetId="9" r:id="rId7"/>
    <sheet name="Годовая отчетность" sheetId="12" r:id="rId8"/>
    <sheet name="выводы" sheetId="11" r:id="rId9"/>
    <sheet name="проверка" sheetId="13" r:id="rId10"/>
  </sheets>
  <externalReferences>
    <externalReference r:id="rId11"/>
    <externalReference r:id="rId12"/>
  </externalReferences>
  <definedNames>
    <definedName name="Дата_погашения_Займа">'Параметры займа'!$L$17</definedName>
    <definedName name="Дата_получения_Займа">'Параметры займа'!$F$16</definedName>
    <definedName name="_xlnm.Print_Titles" localSheetId="7">'Годовая отчетность'!$10:$10</definedName>
    <definedName name="затраты">справочник!$A$44:$A$46</definedName>
    <definedName name="Кварталов_в_году">справочник!$B$40</definedName>
    <definedName name="Месяцев_в_году">[1]support!$B$2</definedName>
    <definedName name="Месяцев_в_квартале">[1]support!$B$1</definedName>
    <definedName name="направления">'Программы финансирования'!$B$33:$B19</definedName>
    <definedName name="_xlnm.Print_Area" localSheetId="7">'Годовая отчетность'!$A$5:$N$177</definedName>
    <definedName name="период_год">справочник!$A$1:$B$12</definedName>
    <definedName name="Программа">'Параметры займа'!$F$13</definedName>
    <definedName name="СН">справочник!$A$28:$A$36</definedName>
    <definedName name="Ставки_НДС">справочник!$A$20:$A$24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9" i="11" l="1"/>
  <c r="H99" i="11"/>
  <c r="I99" i="11"/>
  <c r="J99" i="11"/>
  <c r="K99" i="11"/>
  <c r="L99" i="11"/>
  <c r="M99" i="11"/>
  <c r="N99" i="11"/>
  <c r="F99" i="11"/>
  <c r="G81" i="11"/>
  <c r="H81" i="11"/>
  <c r="I81" i="11"/>
  <c r="J81" i="11"/>
  <c r="K81" i="11"/>
  <c r="L81" i="11"/>
  <c r="M81" i="11"/>
  <c r="N81" i="11"/>
  <c r="F81" i="11"/>
  <c r="G41" i="11"/>
  <c r="H41" i="11"/>
  <c r="I41" i="11"/>
  <c r="J41" i="11"/>
  <c r="K41" i="11"/>
  <c r="L41" i="11"/>
  <c r="M41" i="11"/>
  <c r="N41" i="11"/>
  <c r="F41" i="11"/>
  <c r="G33" i="11"/>
  <c r="H33" i="11"/>
  <c r="I33" i="11"/>
  <c r="J33" i="11"/>
  <c r="K33" i="11"/>
  <c r="L33" i="11"/>
  <c r="M33" i="11"/>
  <c r="N33" i="11"/>
  <c r="F33" i="11"/>
  <c r="H7" i="11"/>
  <c r="I7" i="11" s="1"/>
  <c r="J7" i="11" s="1"/>
  <c r="K7" i="11" s="1"/>
  <c r="L7" i="11" s="1"/>
  <c r="M7" i="11" s="1"/>
  <c r="N7" i="11" s="1"/>
  <c r="G7" i="11"/>
  <c r="F7" i="11"/>
  <c r="L18" i="4"/>
  <c r="C14" i="8" l="1"/>
  <c r="C405" i="8"/>
  <c r="C402" i="8"/>
  <c r="C401" i="8"/>
  <c r="P322" i="8"/>
  <c r="K322" i="8"/>
  <c r="J324" i="8"/>
  <c r="J323" i="8"/>
  <c r="D243" i="8"/>
  <c r="M217" i="8"/>
  <c r="M236" i="8"/>
  <c r="L236" i="8"/>
  <c r="K215" i="8"/>
  <c r="D209" i="8"/>
  <c r="D208" i="8"/>
  <c r="D207" i="8"/>
  <c r="D187" i="8"/>
  <c r="B132" i="8"/>
  <c r="D106" i="8"/>
  <c r="D112" i="8"/>
  <c r="N59" i="8"/>
  <c r="L56" i="8"/>
  <c r="J57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D47" i="8"/>
  <c r="K235" i="9"/>
  <c r="P86" i="9"/>
  <c r="B85" i="3"/>
  <c r="B83" i="3"/>
  <c r="B77" i="3"/>
  <c r="B75" i="3"/>
  <c r="B81" i="3"/>
  <c r="B79" i="3"/>
  <c r="B72" i="3"/>
  <c r="B71" i="3"/>
  <c r="B69" i="3"/>
  <c r="B67" i="3"/>
  <c r="B65" i="3"/>
  <c r="B63" i="3"/>
  <c r="B62" i="3"/>
  <c r="B61" i="3"/>
  <c r="B60" i="3"/>
  <c r="B59" i="3"/>
  <c r="B57" i="3"/>
  <c r="B55" i="3"/>
  <c r="B54" i="3"/>
  <c r="B53" i="3"/>
  <c r="C52" i="3"/>
  <c r="B52" i="3"/>
  <c r="B51" i="3"/>
  <c r="B50" i="3"/>
  <c r="B49" i="3"/>
  <c r="B48" i="3"/>
  <c r="B47" i="3"/>
  <c r="B43" i="3"/>
  <c r="B42" i="3"/>
  <c r="B41" i="3"/>
  <c r="B39" i="3"/>
  <c r="B37" i="3"/>
  <c r="B31" i="3"/>
  <c r="B32" i="3"/>
  <c r="B33" i="3"/>
  <c r="B34" i="3"/>
  <c r="B35" i="3"/>
  <c r="B30" i="3"/>
  <c r="C368" i="8"/>
  <c r="D368" i="8"/>
  <c r="E368" i="8"/>
  <c r="B368" i="8"/>
  <c r="D363" i="8"/>
  <c r="C363" i="8"/>
  <c r="B369" i="8"/>
  <c r="C369" i="8" s="1"/>
  <c r="D369" i="8" l="1"/>
  <c r="E369" i="8" s="1"/>
  <c r="B28" i="12"/>
  <c r="M323" i="8"/>
  <c r="F13" i="4" l="1"/>
  <c r="AS64" i="8"/>
  <c r="AS65" i="8"/>
  <c r="AS66" i="8"/>
  <c r="AS67" i="8"/>
  <c r="AS68" i="8"/>
  <c r="AS69" i="8"/>
  <c r="AS70" i="8"/>
  <c r="AS71" i="8"/>
  <c r="AS72" i="8"/>
  <c r="AS73" i="8"/>
  <c r="AS74" i="8"/>
  <c r="AS75" i="8"/>
  <c r="AS77" i="8"/>
  <c r="AS78" i="8"/>
  <c r="AS56" i="8"/>
  <c r="B14" i="13" l="1"/>
  <c r="B15" i="13"/>
  <c r="B16" i="13"/>
  <c r="B17" i="13"/>
  <c r="B18" i="13"/>
  <c r="B33" i="13"/>
  <c r="B32" i="13"/>
  <c r="B30" i="13"/>
  <c r="B29" i="13"/>
  <c r="B27" i="13"/>
  <c r="B26" i="13"/>
  <c r="A164" i="8"/>
  <c r="A163" i="8"/>
  <c r="A162" i="8"/>
  <c r="A161" i="8"/>
  <c r="A165" i="8" l="1"/>
  <c r="D321" i="8" l="1"/>
  <c r="D52" i="11" l="1"/>
  <c r="E52" i="11"/>
  <c r="F52" i="11"/>
  <c r="G52" i="11"/>
  <c r="H52" i="11"/>
  <c r="I52" i="11"/>
  <c r="J52" i="11"/>
  <c r="K52" i="11"/>
  <c r="C52" i="11"/>
  <c r="B52" i="11" s="1"/>
  <c r="F94" i="11"/>
  <c r="G86" i="11" l="1"/>
  <c r="H86" i="11"/>
  <c r="I86" i="11"/>
  <c r="J86" i="11"/>
  <c r="K86" i="11"/>
  <c r="L86" i="11"/>
  <c r="M86" i="11"/>
  <c r="N86" i="11"/>
  <c r="F86" i="11"/>
  <c r="N3" i="11"/>
  <c r="M3" i="11"/>
  <c r="J3" i="11"/>
  <c r="D3" i="11"/>
  <c r="C3" i="11"/>
  <c r="A74" i="7"/>
  <c r="A75" i="7" s="1"/>
  <c r="B40" i="11" s="1"/>
  <c r="B160" i="8"/>
  <c r="B159" i="8"/>
  <c r="B158" i="8"/>
  <c r="B27" i="11"/>
  <c r="C27" i="11"/>
  <c r="B28" i="11"/>
  <c r="C28" i="11"/>
  <c r="B29" i="11"/>
  <c r="C29" i="11"/>
  <c r="B30" i="11"/>
  <c r="C30" i="11"/>
  <c r="B22" i="11"/>
  <c r="C22" i="11"/>
  <c r="B23" i="11"/>
  <c r="C23" i="11"/>
  <c r="B24" i="11"/>
  <c r="C24" i="11"/>
  <c r="B25" i="11"/>
  <c r="C25" i="11"/>
  <c r="B26" i="11"/>
  <c r="C26" i="11"/>
  <c r="F114" i="12"/>
  <c r="L304" i="9"/>
  <c r="L299" i="9"/>
  <c r="K299" i="9" s="1"/>
  <c r="E174" i="12" s="1"/>
  <c r="J235" i="9"/>
  <c r="D114" i="12" s="1"/>
  <c r="E114" i="12"/>
  <c r="E321" i="8"/>
  <c r="B21" i="11"/>
  <c r="C21" i="11"/>
  <c r="B12" i="11"/>
  <c r="C12" i="11"/>
  <c r="B13" i="11"/>
  <c r="C13" i="11"/>
  <c r="B14" i="11"/>
  <c r="C14" i="11"/>
  <c r="B15" i="11"/>
  <c r="C15" i="11"/>
  <c r="B16" i="11"/>
  <c r="C16" i="11"/>
  <c r="B17" i="11"/>
  <c r="C17" i="11"/>
  <c r="B18" i="11"/>
  <c r="C18" i="11"/>
  <c r="B19" i="11"/>
  <c r="C19" i="11"/>
  <c r="B20" i="11"/>
  <c r="C20" i="11"/>
  <c r="C11" i="11"/>
  <c r="B11" i="11"/>
  <c r="J299" i="9" l="1"/>
  <c r="D174" i="12" s="1"/>
  <c r="F174" i="12"/>
  <c r="L305" i="9"/>
  <c r="L140" i="9"/>
  <c r="M290" i="9"/>
  <c r="N290" i="9"/>
  <c r="O290" i="9"/>
  <c r="P290" i="9"/>
  <c r="Q290" i="9"/>
  <c r="R290" i="9"/>
  <c r="S290" i="9"/>
  <c r="T290" i="9"/>
  <c r="U290" i="9"/>
  <c r="V290" i="9"/>
  <c r="W290" i="9"/>
  <c r="X290" i="9"/>
  <c r="Y290" i="9"/>
  <c r="Z290" i="9"/>
  <c r="AA290" i="9"/>
  <c r="AB290" i="9"/>
  <c r="AC290" i="9"/>
  <c r="AD290" i="9"/>
  <c r="AE290" i="9"/>
  <c r="AF290" i="9"/>
  <c r="AG290" i="9"/>
  <c r="AH290" i="9"/>
  <c r="AI290" i="9"/>
  <c r="AJ290" i="9"/>
  <c r="AK290" i="9"/>
  <c r="AL290" i="9"/>
  <c r="AM290" i="9"/>
  <c r="AN290" i="9"/>
  <c r="AO290" i="9"/>
  <c r="M291" i="9"/>
  <c r="N291" i="9"/>
  <c r="O291" i="9"/>
  <c r="P291" i="9"/>
  <c r="Q291" i="9"/>
  <c r="R291" i="9"/>
  <c r="S291" i="9"/>
  <c r="T291" i="9"/>
  <c r="U291" i="9"/>
  <c r="V291" i="9"/>
  <c r="W291" i="9"/>
  <c r="X291" i="9"/>
  <c r="Y291" i="9"/>
  <c r="Z291" i="9"/>
  <c r="AA291" i="9"/>
  <c r="AB291" i="9"/>
  <c r="AC291" i="9"/>
  <c r="AD291" i="9"/>
  <c r="AE291" i="9"/>
  <c r="AF291" i="9"/>
  <c r="AG291" i="9"/>
  <c r="AH291" i="9"/>
  <c r="AI291" i="9"/>
  <c r="AJ291" i="9"/>
  <c r="AK291" i="9"/>
  <c r="AL291" i="9"/>
  <c r="AM291" i="9"/>
  <c r="AN291" i="9"/>
  <c r="AO291" i="9"/>
  <c r="L291" i="9"/>
  <c r="L290" i="9"/>
  <c r="M283" i="9"/>
  <c r="N283" i="9"/>
  <c r="O283" i="9"/>
  <c r="P283" i="9"/>
  <c r="Q283" i="9"/>
  <c r="R283" i="9"/>
  <c r="S283" i="9"/>
  <c r="T283" i="9"/>
  <c r="U283" i="9"/>
  <c r="V283" i="9"/>
  <c r="W283" i="9"/>
  <c r="X283" i="9"/>
  <c r="Y283" i="9"/>
  <c r="Z283" i="9"/>
  <c r="AA283" i="9"/>
  <c r="AB283" i="9"/>
  <c r="AC283" i="9"/>
  <c r="AD283" i="9"/>
  <c r="AE283" i="9"/>
  <c r="AF283" i="9"/>
  <c r="AG283" i="9"/>
  <c r="AH283" i="9"/>
  <c r="AI283" i="9"/>
  <c r="AJ283" i="9"/>
  <c r="AK283" i="9"/>
  <c r="AL283" i="9"/>
  <c r="AM283" i="9"/>
  <c r="AN283" i="9"/>
  <c r="AO283" i="9"/>
  <c r="M284" i="9"/>
  <c r="N284" i="9"/>
  <c r="O284" i="9"/>
  <c r="P284" i="9"/>
  <c r="Q284" i="9"/>
  <c r="R284" i="9"/>
  <c r="S284" i="9"/>
  <c r="T284" i="9"/>
  <c r="U284" i="9"/>
  <c r="V284" i="9"/>
  <c r="W284" i="9"/>
  <c r="X284" i="9"/>
  <c r="Y284" i="9"/>
  <c r="Z284" i="9"/>
  <c r="AA284" i="9"/>
  <c r="AB284" i="9"/>
  <c r="AC284" i="9"/>
  <c r="AD284" i="9"/>
  <c r="AE284" i="9"/>
  <c r="AF284" i="9"/>
  <c r="AG284" i="9"/>
  <c r="AH284" i="9"/>
  <c r="AI284" i="9"/>
  <c r="AJ284" i="9"/>
  <c r="AK284" i="9"/>
  <c r="AL284" i="9"/>
  <c r="AM284" i="9"/>
  <c r="AN284" i="9"/>
  <c r="AO284" i="9"/>
  <c r="M285" i="9"/>
  <c r="N285" i="9"/>
  <c r="O285" i="9"/>
  <c r="P285" i="9"/>
  <c r="Q285" i="9"/>
  <c r="R285" i="9"/>
  <c r="S285" i="9"/>
  <c r="T285" i="9"/>
  <c r="U285" i="9"/>
  <c r="V285" i="9"/>
  <c r="W285" i="9"/>
  <c r="X285" i="9"/>
  <c r="Y285" i="9"/>
  <c r="Z285" i="9"/>
  <c r="AA285" i="9"/>
  <c r="AB285" i="9"/>
  <c r="AC285" i="9"/>
  <c r="AD285" i="9"/>
  <c r="AE285" i="9"/>
  <c r="AF285" i="9"/>
  <c r="AG285" i="9"/>
  <c r="AH285" i="9"/>
  <c r="AI285" i="9"/>
  <c r="AJ285" i="9"/>
  <c r="AK285" i="9"/>
  <c r="AL285" i="9"/>
  <c r="AM285" i="9"/>
  <c r="AN285" i="9"/>
  <c r="AO285" i="9"/>
  <c r="M286" i="9"/>
  <c r="N286" i="9"/>
  <c r="O286" i="9"/>
  <c r="P286" i="9"/>
  <c r="Q286" i="9"/>
  <c r="R286" i="9"/>
  <c r="S286" i="9"/>
  <c r="T286" i="9"/>
  <c r="U286" i="9"/>
  <c r="V286" i="9"/>
  <c r="W286" i="9"/>
  <c r="X286" i="9"/>
  <c r="Y286" i="9"/>
  <c r="Z286" i="9"/>
  <c r="AA286" i="9"/>
  <c r="AB286" i="9"/>
  <c r="AC286" i="9"/>
  <c r="AD286" i="9"/>
  <c r="AE286" i="9"/>
  <c r="AF286" i="9"/>
  <c r="AG286" i="9"/>
  <c r="AH286" i="9"/>
  <c r="AI286" i="9"/>
  <c r="AJ286" i="9"/>
  <c r="AK286" i="9"/>
  <c r="AL286" i="9"/>
  <c r="AM286" i="9"/>
  <c r="AN286" i="9"/>
  <c r="AO286" i="9"/>
  <c r="L284" i="9"/>
  <c r="L285" i="9"/>
  <c r="L286" i="9"/>
  <c r="L283" i="9"/>
  <c r="M273" i="9"/>
  <c r="N273" i="9"/>
  <c r="O273" i="9"/>
  <c r="P273" i="9"/>
  <c r="Q273" i="9"/>
  <c r="R273" i="9"/>
  <c r="S273" i="9"/>
  <c r="T273" i="9"/>
  <c r="U273" i="9"/>
  <c r="V273" i="9"/>
  <c r="W273" i="9"/>
  <c r="X273" i="9"/>
  <c r="Y273" i="9"/>
  <c r="Z273" i="9"/>
  <c r="AA273" i="9"/>
  <c r="AB273" i="9"/>
  <c r="AC273" i="9"/>
  <c r="AD273" i="9"/>
  <c r="AE273" i="9"/>
  <c r="AF273" i="9"/>
  <c r="AG273" i="9"/>
  <c r="AH273" i="9"/>
  <c r="AI273" i="9"/>
  <c r="AJ273" i="9"/>
  <c r="AK273" i="9"/>
  <c r="AL273" i="9"/>
  <c r="AM273" i="9"/>
  <c r="AN273" i="9"/>
  <c r="AO273" i="9"/>
  <c r="M274" i="9"/>
  <c r="N274" i="9"/>
  <c r="O274" i="9"/>
  <c r="P274" i="9"/>
  <c r="Q274" i="9"/>
  <c r="R274" i="9"/>
  <c r="S274" i="9"/>
  <c r="T274" i="9"/>
  <c r="U274" i="9"/>
  <c r="V274" i="9"/>
  <c r="W274" i="9"/>
  <c r="X274" i="9"/>
  <c r="Y274" i="9"/>
  <c r="Z274" i="9"/>
  <c r="AA274" i="9"/>
  <c r="AB274" i="9"/>
  <c r="AC274" i="9"/>
  <c r="AD274" i="9"/>
  <c r="AE274" i="9"/>
  <c r="AF274" i="9"/>
  <c r="AG274" i="9"/>
  <c r="AH274" i="9"/>
  <c r="AI274" i="9"/>
  <c r="AJ274" i="9"/>
  <c r="AK274" i="9"/>
  <c r="AL274" i="9"/>
  <c r="AM274" i="9"/>
  <c r="AN274" i="9"/>
  <c r="AO274" i="9"/>
  <c r="M275" i="9"/>
  <c r="N275" i="9"/>
  <c r="O275" i="9"/>
  <c r="P275" i="9"/>
  <c r="Q275" i="9"/>
  <c r="R275" i="9"/>
  <c r="S275" i="9"/>
  <c r="T275" i="9"/>
  <c r="U275" i="9"/>
  <c r="V275" i="9"/>
  <c r="W275" i="9"/>
  <c r="X275" i="9"/>
  <c r="Y275" i="9"/>
  <c r="Z275" i="9"/>
  <c r="AA275" i="9"/>
  <c r="AB275" i="9"/>
  <c r="AC275" i="9"/>
  <c r="AD275" i="9"/>
  <c r="AE275" i="9"/>
  <c r="AF275" i="9"/>
  <c r="AG275" i="9"/>
  <c r="AH275" i="9"/>
  <c r="AI275" i="9"/>
  <c r="AJ275" i="9"/>
  <c r="AK275" i="9"/>
  <c r="AL275" i="9"/>
  <c r="AM275" i="9"/>
  <c r="AN275" i="9"/>
  <c r="AO275" i="9"/>
  <c r="L275" i="9"/>
  <c r="L274" i="9"/>
  <c r="L273" i="9"/>
  <c r="M264" i="9"/>
  <c r="N264" i="9"/>
  <c r="O264" i="9"/>
  <c r="P264" i="9"/>
  <c r="Q264" i="9"/>
  <c r="R264" i="9"/>
  <c r="S264" i="9"/>
  <c r="T264" i="9"/>
  <c r="U264" i="9"/>
  <c r="V264" i="9"/>
  <c r="W264" i="9"/>
  <c r="X264" i="9"/>
  <c r="Y264" i="9"/>
  <c r="Z264" i="9"/>
  <c r="AA264" i="9"/>
  <c r="AB264" i="9"/>
  <c r="AC264" i="9"/>
  <c r="AD264" i="9"/>
  <c r="AE264" i="9"/>
  <c r="AF264" i="9"/>
  <c r="AG264" i="9"/>
  <c r="AH264" i="9"/>
  <c r="AI264" i="9"/>
  <c r="AJ264" i="9"/>
  <c r="AK264" i="9"/>
  <c r="AL264" i="9"/>
  <c r="AM264" i="9"/>
  <c r="AN264" i="9"/>
  <c r="AO264" i="9"/>
  <c r="M265" i="9"/>
  <c r="N265" i="9"/>
  <c r="O265" i="9"/>
  <c r="P265" i="9"/>
  <c r="Q265" i="9"/>
  <c r="R265" i="9"/>
  <c r="S265" i="9"/>
  <c r="T265" i="9"/>
  <c r="U265" i="9"/>
  <c r="V265" i="9"/>
  <c r="W265" i="9"/>
  <c r="X265" i="9"/>
  <c r="Y265" i="9"/>
  <c r="Z265" i="9"/>
  <c r="AA265" i="9"/>
  <c r="AB265" i="9"/>
  <c r="AC265" i="9"/>
  <c r="AD265" i="9"/>
  <c r="AE265" i="9"/>
  <c r="AF265" i="9"/>
  <c r="AG265" i="9"/>
  <c r="AH265" i="9"/>
  <c r="AI265" i="9"/>
  <c r="AJ265" i="9"/>
  <c r="AK265" i="9"/>
  <c r="AL265" i="9"/>
  <c r="AM265" i="9"/>
  <c r="AN265" i="9"/>
  <c r="AO265" i="9"/>
  <c r="M266" i="9"/>
  <c r="N266" i="9"/>
  <c r="O266" i="9"/>
  <c r="P266" i="9"/>
  <c r="Q266" i="9"/>
  <c r="R266" i="9"/>
  <c r="S266" i="9"/>
  <c r="T266" i="9"/>
  <c r="U266" i="9"/>
  <c r="V266" i="9"/>
  <c r="W266" i="9"/>
  <c r="X266" i="9"/>
  <c r="Y266" i="9"/>
  <c r="Z266" i="9"/>
  <c r="AA266" i="9"/>
  <c r="AB266" i="9"/>
  <c r="AC266" i="9"/>
  <c r="AD266" i="9"/>
  <c r="AE266" i="9"/>
  <c r="AF266" i="9"/>
  <c r="AG266" i="9"/>
  <c r="AH266" i="9"/>
  <c r="AI266" i="9"/>
  <c r="AJ266" i="9"/>
  <c r="AK266" i="9"/>
  <c r="AL266" i="9"/>
  <c r="AM266" i="9"/>
  <c r="AN266" i="9"/>
  <c r="AO266" i="9"/>
  <c r="M267" i="9"/>
  <c r="N267" i="9"/>
  <c r="O267" i="9"/>
  <c r="P267" i="9"/>
  <c r="Q267" i="9"/>
  <c r="R267" i="9"/>
  <c r="S267" i="9"/>
  <c r="T267" i="9"/>
  <c r="U267" i="9"/>
  <c r="V267" i="9"/>
  <c r="W267" i="9"/>
  <c r="X267" i="9"/>
  <c r="Y267" i="9"/>
  <c r="Z267" i="9"/>
  <c r="AA267" i="9"/>
  <c r="AB267" i="9"/>
  <c r="AC267" i="9"/>
  <c r="AD267" i="9"/>
  <c r="AE267" i="9"/>
  <c r="AF267" i="9"/>
  <c r="AG267" i="9"/>
  <c r="AH267" i="9"/>
  <c r="AI267" i="9"/>
  <c r="AJ267" i="9"/>
  <c r="AK267" i="9"/>
  <c r="AL267" i="9"/>
  <c r="AM267" i="9"/>
  <c r="AN267" i="9"/>
  <c r="AO267" i="9"/>
  <c r="M268" i="9"/>
  <c r="N268" i="9"/>
  <c r="O268" i="9"/>
  <c r="P268" i="9"/>
  <c r="Q268" i="9"/>
  <c r="R268" i="9"/>
  <c r="S268" i="9"/>
  <c r="T268" i="9"/>
  <c r="U268" i="9"/>
  <c r="V268" i="9"/>
  <c r="W268" i="9"/>
  <c r="X268" i="9"/>
  <c r="Y268" i="9"/>
  <c r="Z268" i="9"/>
  <c r="AA268" i="9"/>
  <c r="AB268" i="9"/>
  <c r="AC268" i="9"/>
  <c r="AD268" i="9"/>
  <c r="AE268" i="9"/>
  <c r="AF268" i="9"/>
  <c r="AG268" i="9"/>
  <c r="AH268" i="9"/>
  <c r="AI268" i="9"/>
  <c r="AJ268" i="9"/>
  <c r="AK268" i="9"/>
  <c r="AL268" i="9"/>
  <c r="AM268" i="9"/>
  <c r="AN268" i="9"/>
  <c r="AO268" i="9"/>
  <c r="L265" i="9"/>
  <c r="L266" i="9"/>
  <c r="L267" i="9"/>
  <c r="L268" i="9"/>
  <c r="L264" i="9"/>
  <c r="M255" i="9"/>
  <c r="N255" i="9"/>
  <c r="O255" i="9"/>
  <c r="P255" i="9"/>
  <c r="Q255" i="9"/>
  <c r="R255" i="9"/>
  <c r="S255" i="9"/>
  <c r="T255" i="9"/>
  <c r="U255" i="9"/>
  <c r="V255" i="9"/>
  <c r="W255" i="9"/>
  <c r="X255" i="9"/>
  <c r="Y255" i="9"/>
  <c r="Z255" i="9"/>
  <c r="AA255" i="9"/>
  <c r="AB255" i="9"/>
  <c r="AC255" i="9"/>
  <c r="AD255" i="9"/>
  <c r="AE255" i="9"/>
  <c r="AF255" i="9"/>
  <c r="AG255" i="9"/>
  <c r="AH255" i="9"/>
  <c r="AI255" i="9"/>
  <c r="AJ255" i="9"/>
  <c r="AK255" i="9"/>
  <c r="AL255" i="9"/>
  <c r="AM255" i="9"/>
  <c r="AN255" i="9"/>
  <c r="AO255" i="9"/>
  <c r="L255" i="9"/>
  <c r="AO247" i="9"/>
  <c r="M248" i="9"/>
  <c r="N248" i="9"/>
  <c r="O248" i="9"/>
  <c r="P248" i="9"/>
  <c r="Q248" i="9"/>
  <c r="R248" i="9"/>
  <c r="S248" i="9"/>
  <c r="T248" i="9"/>
  <c r="U248" i="9"/>
  <c r="V248" i="9"/>
  <c r="W248" i="9"/>
  <c r="X248" i="9"/>
  <c r="Y248" i="9"/>
  <c r="Z248" i="9"/>
  <c r="AA248" i="9"/>
  <c r="AB248" i="9"/>
  <c r="AC248" i="9"/>
  <c r="AD248" i="9"/>
  <c r="AE248" i="9"/>
  <c r="AF248" i="9"/>
  <c r="AG248" i="9"/>
  <c r="AH248" i="9"/>
  <c r="AI248" i="9"/>
  <c r="AJ248" i="9"/>
  <c r="AK248" i="9"/>
  <c r="AL248" i="9"/>
  <c r="AM248" i="9"/>
  <c r="AN248" i="9"/>
  <c r="AO248" i="9"/>
  <c r="L248" i="9"/>
  <c r="L247" i="9"/>
  <c r="M188" i="9"/>
  <c r="M193" i="9" s="1"/>
  <c r="N188" i="9"/>
  <c r="N193" i="9" s="1"/>
  <c r="O188" i="9"/>
  <c r="O193" i="9" s="1"/>
  <c r="P188" i="9"/>
  <c r="P193" i="9" s="1"/>
  <c r="Q188" i="9"/>
  <c r="Q193" i="9" s="1"/>
  <c r="R188" i="9"/>
  <c r="R193" i="9" s="1"/>
  <c r="S188" i="9"/>
  <c r="S193" i="9" s="1"/>
  <c r="T188" i="9"/>
  <c r="T193" i="9" s="1"/>
  <c r="U188" i="9"/>
  <c r="U193" i="9" s="1"/>
  <c r="V188" i="9"/>
  <c r="V193" i="9" s="1"/>
  <c r="W188" i="9"/>
  <c r="W193" i="9" s="1"/>
  <c r="X188" i="9"/>
  <c r="X193" i="9" s="1"/>
  <c r="Y188" i="9"/>
  <c r="Y193" i="9" s="1"/>
  <c r="Z188" i="9"/>
  <c r="Z193" i="9" s="1"/>
  <c r="AA188" i="9"/>
  <c r="AA193" i="9" s="1"/>
  <c r="AB188" i="9"/>
  <c r="AB193" i="9" s="1"/>
  <c r="AC188" i="9"/>
  <c r="AC193" i="9" s="1"/>
  <c r="AD188" i="9"/>
  <c r="AD193" i="9" s="1"/>
  <c r="AE188" i="9"/>
  <c r="AE193" i="9" s="1"/>
  <c r="AF188" i="9"/>
  <c r="AF193" i="9" s="1"/>
  <c r="AG188" i="9"/>
  <c r="AG193" i="9" s="1"/>
  <c r="AH188" i="9"/>
  <c r="AH193" i="9" s="1"/>
  <c r="AI188" i="9"/>
  <c r="AI193" i="9" s="1"/>
  <c r="AJ188" i="9"/>
  <c r="AJ193" i="9" s="1"/>
  <c r="AK188" i="9"/>
  <c r="AK193" i="9" s="1"/>
  <c r="AL188" i="9"/>
  <c r="AL193" i="9" s="1"/>
  <c r="AM188" i="9"/>
  <c r="AM193" i="9" s="1"/>
  <c r="AN188" i="9"/>
  <c r="AN193" i="9" s="1"/>
  <c r="AO188" i="9"/>
  <c r="AO193" i="9" s="1"/>
  <c r="L188" i="9"/>
  <c r="L193" i="9" s="1"/>
  <c r="L185" i="9"/>
  <c r="M185" i="9"/>
  <c r="N185" i="9"/>
  <c r="O185" i="9"/>
  <c r="P185" i="9"/>
  <c r="Q185" i="9"/>
  <c r="R185" i="9"/>
  <c r="S185" i="9"/>
  <c r="T185" i="9"/>
  <c r="U185" i="9"/>
  <c r="V185" i="9"/>
  <c r="W185" i="9"/>
  <c r="X185" i="9"/>
  <c r="Y185" i="9"/>
  <c r="Z185" i="9"/>
  <c r="AA185" i="9"/>
  <c r="AB185" i="9"/>
  <c r="AC185" i="9"/>
  <c r="AD185" i="9"/>
  <c r="AE185" i="9"/>
  <c r="AF185" i="9"/>
  <c r="AG185" i="9"/>
  <c r="AH185" i="9"/>
  <c r="AI185" i="9"/>
  <c r="AJ185" i="9"/>
  <c r="AK185" i="9"/>
  <c r="AL185" i="9"/>
  <c r="AM185" i="9"/>
  <c r="AN185" i="9"/>
  <c r="AO185" i="9"/>
  <c r="AO174" i="9"/>
  <c r="L174" i="9"/>
  <c r="AO166" i="9"/>
  <c r="L166" i="9"/>
  <c r="M220" i="9"/>
  <c r="N220" i="9"/>
  <c r="O220" i="9"/>
  <c r="P220" i="9"/>
  <c r="Q220" i="9"/>
  <c r="R220" i="9"/>
  <c r="S220" i="9"/>
  <c r="T220" i="9"/>
  <c r="U220" i="9"/>
  <c r="V220" i="9"/>
  <c r="W220" i="9"/>
  <c r="X220" i="9"/>
  <c r="Y220" i="9"/>
  <c r="Z220" i="9"/>
  <c r="AA220" i="9"/>
  <c r="AB220" i="9"/>
  <c r="AC220" i="9"/>
  <c r="AD220" i="9"/>
  <c r="AE220" i="9"/>
  <c r="AF220" i="9"/>
  <c r="AG220" i="9"/>
  <c r="AH220" i="9"/>
  <c r="AI220" i="9"/>
  <c r="AJ220" i="9"/>
  <c r="AK220" i="9"/>
  <c r="AL220" i="9"/>
  <c r="AM220" i="9"/>
  <c r="AN220" i="9"/>
  <c r="AO220" i="9"/>
  <c r="M225" i="9"/>
  <c r="N225" i="9"/>
  <c r="O225" i="9"/>
  <c r="P225" i="9"/>
  <c r="Q225" i="9"/>
  <c r="R225" i="9"/>
  <c r="S225" i="9"/>
  <c r="T225" i="9"/>
  <c r="U225" i="9"/>
  <c r="V225" i="9"/>
  <c r="W225" i="9"/>
  <c r="X225" i="9"/>
  <c r="Y225" i="9"/>
  <c r="Z225" i="9"/>
  <c r="AA225" i="9"/>
  <c r="AB225" i="9"/>
  <c r="AC225" i="9"/>
  <c r="AD225" i="9"/>
  <c r="AE225" i="9"/>
  <c r="AF225" i="9"/>
  <c r="AG225" i="9"/>
  <c r="AH225" i="9"/>
  <c r="AI225" i="9"/>
  <c r="AJ225" i="9"/>
  <c r="AK225" i="9"/>
  <c r="AL225" i="9"/>
  <c r="AM225" i="9"/>
  <c r="AN225" i="9"/>
  <c r="AO225" i="9"/>
  <c r="L225" i="9"/>
  <c r="L220" i="9"/>
  <c r="M200" i="9"/>
  <c r="N200" i="9"/>
  <c r="O200" i="9"/>
  <c r="P200" i="9"/>
  <c r="Q200" i="9"/>
  <c r="R200" i="9"/>
  <c r="S200" i="9"/>
  <c r="T200" i="9"/>
  <c r="U200" i="9"/>
  <c r="V200" i="9"/>
  <c r="W200" i="9"/>
  <c r="X200" i="9"/>
  <c r="Y200" i="9"/>
  <c r="Z200" i="9"/>
  <c r="AA200" i="9"/>
  <c r="AB200" i="9"/>
  <c r="AC200" i="9"/>
  <c r="AD200" i="9"/>
  <c r="AE200" i="9"/>
  <c r="AF200" i="9"/>
  <c r="AG200" i="9"/>
  <c r="AH200" i="9"/>
  <c r="AI200" i="9"/>
  <c r="AJ200" i="9"/>
  <c r="AK200" i="9"/>
  <c r="AL200" i="9"/>
  <c r="AM200" i="9"/>
  <c r="AN200" i="9"/>
  <c r="AO200" i="9"/>
  <c r="M205" i="9"/>
  <c r="N205" i="9"/>
  <c r="O205" i="9"/>
  <c r="P205" i="9"/>
  <c r="Q205" i="9"/>
  <c r="R205" i="9"/>
  <c r="S205" i="9"/>
  <c r="T205" i="9"/>
  <c r="U205" i="9"/>
  <c r="V205" i="9"/>
  <c r="W205" i="9"/>
  <c r="X205" i="9"/>
  <c r="Y205" i="9"/>
  <c r="Z205" i="9"/>
  <c r="AA205" i="9"/>
  <c r="AB205" i="9"/>
  <c r="AC205" i="9"/>
  <c r="AD205" i="9"/>
  <c r="AE205" i="9"/>
  <c r="AF205" i="9"/>
  <c r="AG205" i="9"/>
  <c r="AH205" i="9"/>
  <c r="AI205" i="9"/>
  <c r="AJ205" i="9"/>
  <c r="AK205" i="9"/>
  <c r="AL205" i="9"/>
  <c r="AM205" i="9"/>
  <c r="AN205" i="9"/>
  <c r="AO205" i="9"/>
  <c r="L205" i="9"/>
  <c r="L200" i="9"/>
  <c r="K151" i="9"/>
  <c r="E54" i="12" s="1"/>
  <c r="J151" i="9"/>
  <c r="F54" i="12"/>
  <c r="AO176" i="9" l="1"/>
  <c r="Z195" i="9"/>
  <c r="AO195" i="9"/>
  <c r="W195" i="9"/>
  <c r="L176" i="9"/>
  <c r="AE195" i="9"/>
  <c r="Y195" i="9"/>
  <c r="AH195" i="9"/>
  <c r="AA199" i="9"/>
  <c r="AA214" i="9" s="1"/>
  <c r="AM219" i="9"/>
  <c r="AM230" i="9" s="1"/>
  <c r="O219" i="9"/>
  <c r="O230" i="9" s="1"/>
  <c r="T199" i="9"/>
  <c r="T214" i="9" s="1"/>
  <c r="AE219" i="9"/>
  <c r="AE230" i="9" s="1"/>
  <c r="AJ199" i="9"/>
  <c r="AJ214" i="9" s="1"/>
  <c r="D54" i="12"/>
  <c r="J304" i="9"/>
  <c r="J305" i="9" s="1"/>
  <c r="AB199" i="9"/>
  <c r="AB214" i="9" s="1"/>
  <c r="AK195" i="9"/>
  <c r="AI199" i="9"/>
  <c r="AI214" i="9" s="1"/>
  <c r="W219" i="9"/>
  <c r="W230" i="9" s="1"/>
  <c r="Q195" i="9"/>
  <c r="K304" i="9"/>
  <c r="K305" i="9" s="1"/>
  <c r="R195" i="9"/>
  <c r="AM195" i="9"/>
  <c r="AG195" i="9"/>
  <c r="O195" i="9"/>
  <c r="AI195" i="9"/>
  <c r="AA195" i="9"/>
  <c r="S195" i="9"/>
  <c r="AL219" i="9"/>
  <c r="AL230" i="9" s="1"/>
  <c r="AD219" i="9"/>
  <c r="AD230" i="9" s="1"/>
  <c r="V219" i="9"/>
  <c r="V230" i="9" s="1"/>
  <c r="N219" i="9"/>
  <c r="N230" i="9" s="1"/>
  <c r="U195" i="9"/>
  <c r="L199" i="9"/>
  <c r="L214" i="9" s="1"/>
  <c r="AA219" i="9"/>
  <c r="AA230" i="9" s="1"/>
  <c r="AC195" i="9"/>
  <c r="M195" i="9"/>
  <c r="AJ269" i="9"/>
  <c r="AN219" i="9"/>
  <c r="X219" i="9"/>
  <c r="AI269" i="9"/>
  <c r="AH199" i="9"/>
  <c r="AH214" i="9" s="1"/>
  <c r="R199" i="9"/>
  <c r="R214" i="9" s="1"/>
  <c r="AM199" i="9"/>
  <c r="AM214" i="9" s="1"/>
  <c r="AE199" i="9"/>
  <c r="AE214" i="9" s="1"/>
  <c r="W199" i="9"/>
  <c r="W214" i="9" s="1"/>
  <c r="O199" i="9"/>
  <c r="O214" i="9" s="1"/>
  <c r="AJ219" i="9"/>
  <c r="AB219" i="9"/>
  <c r="AL195" i="9"/>
  <c r="AD195" i="9"/>
  <c r="V195" i="9"/>
  <c r="N195" i="9"/>
  <c r="AN269" i="9"/>
  <c r="AB269" i="9"/>
  <c r="S269" i="9"/>
  <c r="Z199" i="9"/>
  <c r="Z214" i="9" s="1"/>
  <c r="AO199" i="9"/>
  <c r="AO214" i="9" s="1"/>
  <c r="AG199" i="9"/>
  <c r="AG214" i="9" s="1"/>
  <c r="Y199" i="9"/>
  <c r="Y214" i="9" s="1"/>
  <c r="Q199" i="9"/>
  <c r="Q214" i="9" s="1"/>
  <c r="AI219" i="9"/>
  <c r="S219" i="9"/>
  <c r="AO269" i="9"/>
  <c r="AG269" i="9"/>
  <c r="Y269" i="9"/>
  <c r="Q269" i="9"/>
  <c r="P269" i="9"/>
  <c r="T269" i="9"/>
  <c r="S199" i="9"/>
  <c r="S214" i="9" s="1"/>
  <c r="AF219" i="9"/>
  <c r="P219" i="9"/>
  <c r="AA269" i="9"/>
  <c r="AK199" i="9"/>
  <c r="AK214" i="9" s="1"/>
  <c r="AC199" i="9"/>
  <c r="AC214" i="9" s="1"/>
  <c r="U199" i="9"/>
  <c r="U214" i="9" s="1"/>
  <c r="M199" i="9"/>
  <c r="M214" i="9" s="1"/>
  <c r="AJ195" i="9"/>
  <c r="AB195" i="9"/>
  <c r="T195" i="9"/>
  <c r="L195" i="9"/>
  <c r="L269" i="9"/>
  <c r="AF269" i="9"/>
  <c r="X269" i="9"/>
  <c r="AL199" i="9"/>
  <c r="AL214" i="9" s="1"/>
  <c r="AD199" i="9"/>
  <c r="AD214" i="9" s="1"/>
  <c r="V199" i="9"/>
  <c r="V214" i="9" s="1"/>
  <c r="AH269" i="9"/>
  <c r="Z269" i="9"/>
  <c r="R269" i="9"/>
  <c r="X199" i="9"/>
  <c r="X214" i="9" s="1"/>
  <c r="R219" i="9"/>
  <c r="AO219" i="9"/>
  <c r="AG219" i="9"/>
  <c r="Y219" i="9"/>
  <c r="Q219" i="9"/>
  <c r="AN195" i="9"/>
  <c r="AF195" i="9"/>
  <c r="X195" i="9"/>
  <c r="P195" i="9"/>
  <c r="AN199" i="9"/>
  <c r="AN214" i="9" s="1"/>
  <c r="AK219" i="9"/>
  <c r="AC219" i="9"/>
  <c r="U219" i="9"/>
  <c r="M219" i="9"/>
  <c r="AM269" i="9"/>
  <c r="AE269" i="9"/>
  <c r="W269" i="9"/>
  <c r="O269" i="9"/>
  <c r="AF199" i="9"/>
  <c r="AF214" i="9" s="1"/>
  <c r="AH219" i="9"/>
  <c r="T219" i="9"/>
  <c r="AL269" i="9"/>
  <c r="AD269" i="9"/>
  <c r="V269" i="9"/>
  <c r="N269" i="9"/>
  <c r="P199" i="9"/>
  <c r="P214" i="9" s="1"/>
  <c r="Z219" i="9"/>
  <c r="AK269" i="9"/>
  <c r="AC269" i="9"/>
  <c r="U269" i="9"/>
  <c r="M269" i="9"/>
  <c r="L219" i="9"/>
  <c r="N199" i="9"/>
  <c r="N214" i="9" s="1"/>
  <c r="L90" i="9"/>
  <c r="L89" i="9"/>
  <c r="M89" i="9"/>
  <c r="N89" i="9"/>
  <c r="O89" i="9"/>
  <c r="P89" i="9"/>
  <c r="Q89" i="9"/>
  <c r="R89" i="9"/>
  <c r="S89" i="9"/>
  <c r="T89" i="9"/>
  <c r="U89" i="9"/>
  <c r="V89" i="9"/>
  <c r="W89" i="9"/>
  <c r="X89" i="9"/>
  <c r="Y89" i="9"/>
  <c r="Z89" i="9"/>
  <c r="AA89" i="9"/>
  <c r="AB89" i="9"/>
  <c r="AC89" i="9"/>
  <c r="AD89" i="9"/>
  <c r="AE89" i="9"/>
  <c r="AF89" i="9"/>
  <c r="AG89" i="9"/>
  <c r="AH89" i="9"/>
  <c r="AI89" i="9"/>
  <c r="AJ89" i="9"/>
  <c r="AK89" i="9"/>
  <c r="AL89" i="9"/>
  <c r="AM89" i="9"/>
  <c r="AN89" i="9"/>
  <c r="AO89" i="9"/>
  <c r="L88" i="9"/>
  <c r="L87" i="9"/>
  <c r="M87" i="9"/>
  <c r="N87" i="9"/>
  <c r="O87" i="9"/>
  <c r="P87" i="9"/>
  <c r="Q87" i="9"/>
  <c r="R87" i="9"/>
  <c r="S87" i="9"/>
  <c r="T87" i="9"/>
  <c r="U87" i="9"/>
  <c r="V87" i="9"/>
  <c r="W87" i="9"/>
  <c r="X87" i="9"/>
  <c r="Y87" i="9"/>
  <c r="Z87" i="9"/>
  <c r="AA87" i="9"/>
  <c r="AB87" i="9"/>
  <c r="AC87" i="9"/>
  <c r="AD87" i="9"/>
  <c r="AE87" i="9"/>
  <c r="AF87" i="9"/>
  <c r="AG87" i="9"/>
  <c r="AH87" i="9"/>
  <c r="AI87" i="9"/>
  <c r="AJ87" i="9"/>
  <c r="AK87" i="9"/>
  <c r="AL87" i="9"/>
  <c r="AM87" i="9"/>
  <c r="AN87" i="9"/>
  <c r="AO87" i="9"/>
  <c r="L86" i="9"/>
  <c r="L85" i="9"/>
  <c r="L84" i="9"/>
  <c r="AM232" i="9" l="1"/>
  <c r="AE232" i="9"/>
  <c r="N232" i="9"/>
  <c r="W232" i="9"/>
  <c r="AA232" i="9"/>
  <c r="O232" i="9"/>
  <c r="V232" i="9"/>
  <c r="AD232" i="9"/>
  <c r="AL232" i="9"/>
  <c r="AC230" i="9"/>
  <c r="AC232" i="9" s="1"/>
  <c r="AN230" i="9"/>
  <c r="AN232" i="9" s="1"/>
  <c r="AK230" i="9"/>
  <c r="AK232" i="9" s="1"/>
  <c r="Y230" i="9"/>
  <c r="Y232" i="9" s="1"/>
  <c r="AO230" i="9"/>
  <c r="AO232" i="9" s="1"/>
  <c r="AO236" i="9" s="1"/>
  <c r="S230" i="9"/>
  <c r="S232" i="9" s="1"/>
  <c r="Z230" i="9"/>
  <c r="Z232" i="9" s="1"/>
  <c r="M230" i="9"/>
  <c r="M232" i="9" s="1"/>
  <c r="R230" i="9"/>
  <c r="R232" i="9" s="1"/>
  <c r="P230" i="9"/>
  <c r="P232" i="9" s="1"/>
  <c r="AI230" i="9"/>
  <c r="AI232" i="9" s="1"/>
  <c r="Q230" i="9"/>
  <c r="Q232" i="9" s="1"/>
  <c r="AB230" i="9"/>
  <c r="AB232" i="9" s="1"/>
  <c r="AG230" i="9"/>
  <c r="AG232" i="9" s="1"/>
  <c r="AJ230" i="9"/>
  <c r="AJ232" i="9" s="1"/>
  <c r="T230" i="9"/>
  <c r="T232" i="9" s="1"/>
  <c r="AH230" i="9"/>
  <c r="AH232" i="9" s="1"/>
  <c r="U230" i="9"/>
  <c r="U232" i="9" s="1"/>
  <c r="AF230" i="9"/>
  <c r="AF232" i="9" s="1"/>
  <c r="X230" i="9"/>
  <c r="X232" i="9" s="1"/>
  <c r="L230" i="9"/>
  <c r="L232" i="9" s="1"/>
  <c r="L236" i="9" s="1"/>
  <c r="L237" i="9" s="1"/>
  <c r="B357" i="8"/>
  <c r="D339" i="8"/>
  <c r="AH339" i="8" s="1"/>
  <c r="B351" i="8"/>
  <c r="B345" i="8"/>
  <c r="C38" i="9"/>
  <c r="B38" i="9" s="1"/>
  <c r="C39" i="9"/>
  <c r="B39" i="9" s="1"/>
  <c r="C40" i="9"/>
  <c r="B40" i="9" s="1"/>
  <c r="C41" i="9"/>
  <c r="B41" i="9" s="1"/>
  <c r="C42" i="9"/>
  <c r="B42" i="9" s="1"/>
  <c r="C43" i="9"/>
  <c r="B43" i="9" s="1"/>
  <c r="C44" i="9"/>
  <c r="B44" i="9" s="1"/>
  <c r="C45" i="9"/>
  <c r="B45" i="9" s="1"/>
  <c r="C46" i="9"/>
  <c r="B46" i="9" s="1"/>
  <c r="C47" i="9"/>
  <c r="B47" i="9" s="1"/>
  <c r="C48" i="9"/>
  <c r="B48" i="9" s="1"/>
  <c r="C49" i="9"/>
  <c r="B49" i="9" s="1"/>
  <c r="C50" i="9"/>
  <c r="B50" i="9" s="1"/>
  <c r="C51" i="9"/>
  <c r="B51" i="9" s="1"/>
  <c r="C52" i="9"/>
  <c r="B52" i="9" s="1"/>
  <c r="C53" i="9"/>
  <c r="B53" i="9" s="1"/>
  <c r="C54" i="9"/>
  <c r="B54" i="9" s="1"/>
  <c r="C55" i="9"/>
  <c r="B55" i="9" s="1"/>
  <c r="C56" i="9"/>
  <c r="B56" i="9" s="1"/>
  <c r="C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37" i="9"/>
  <c r="H45" i="9"/>
  <c r="H107" i="9" s="1"/>
  <c r="H46" i="9"/>
  <c r="H108" i="9" s="1"/>
  <c r="H47" i="9"/>
  <c r="H109" i="9" s="1"/>
  <c r="H48" i="9"/>
  <c r="H110" i="9" s="1"/>
  <c r="H49" i="9"/>
  <c r="H111" i="9" s="1"/>
  <c r="H50" i="9"/>
  <c r="H112" i="9" s="1"/>
  <c r="H51" i="9"/>
  <c r="H113" i="9" s="1"/>
  <c r="H52" i="9"/>
  <c r="H114" i="9" s="1"/>
  <c r="H53" i="9"/>
  <c r="H115" i="9" s="1"/>
  <c r="H54" i="9"/>
  <c r="H116" i="9" s="1"/>
  <c r="H55" i="9"/>
  <c r="H117" i="9" s="1"/>
  <c r="H56" i="9"/>
  <c r="H118" i="9" s="1"/>
  <c r="H38" i="9"/>
  <c r="H100" i="9" s="1"/>
  <c r="H39" i="9"/>
  <c r="H101" i="9" s="1"/>
  <c r="H40" i="9"/>
  <c r="H102" i="9" s="1"/>
  <c r="H41" i="9"/>
  <c r="H103" i="9" s="1"/>
  <c r="H42" i="9"/>
  <c r="H104" i="9" s="1"/>
  <c r="H43" i="9"/>
  <c r="H105" i="9" s="1"/>
  <c r="H44" i="9"/>
  <c r="H106" i="9" s="1"/>
  <c r="H37" i="9"/>
  <c r="H99" i="9" s="1"/>
  <c r="M66" i="9"/>
  <c r="N66" i="9"/>
  <c r="O66" i="9"/>
  <c r="P66" i="9"/>
  <c r="Q66" i="9"/>
  <c r="R66" i="9"/>
  <c r="S66" i="9"/>
  <c r="T66" i="9"/>
  <c r="U66" i="9"/>
  <c r="V66" i="9"/>
  <c r="W66" i="9"/>
  <c r="X66" i="9"/>
  <c r="Y66" i="9"/>
  <c r="Z66" i="9"/>
  <c r="AA66" i="9"/>
  <c r="AB66" i="9"/>
  <c r="AC66" i="9"/>
  <c r="AD66" i="9"/>
  <c r="AE66" i="9"/>
  <c r="AF66" i="9"/>
  <c r="AG66" i="9"/>
  <c r="AH66" i="9"/>
  <c r="AI66" i="9"/>
  <c r="AJ66" i="9"/>
  <c r="AK66" i="9"/>
  <c r="AL66" i="9"/>
  <c r="AM66" i="9"/>
  <c r="AN66" i="9"/>
  <c r="AO66" i="9"/>
  <c r="M67" i="9"/>
  <c r="N67" i="9"/>
  <c r="O67" i="9"/>
  <c r="P67" i="9"/>
  <c r="Q67" i="9"/>
  <c r="R67" i="9"/>
  <c r="S67" i="9"/>
  <c r="T67" i="9"/>
  <c r="U67" i="9"/>
  <c r="V67" i="9"/>
  <c r="W67" i="9"/>
  <c r="X67" i="9"/>
  <c r="Y67" i="9"/>
  <c r="Z67" i="9"/>
  <c r="AA67" i="9"/>
  <c r="AB67" i="9"/>
  <c r="AC67" i="9"/>
  <c r="AD67" i="9"/>
  <c r="AE67" i="9"/>
  <c r="AF67" i="9"/>
  <c r="AG67" i="9"/>
  <c r="AH67" i="9"/>
  <c r="AI67" i="9"/>
  <c r="AJ67" i="9"/>
  <c r="AK67" i="9"/>
  <c r="AL67" i="9"/>
  <c r="AM67" i="9"/>
  <c r="AN67" i="9"/>
  <c r="AO67" i="9"/>
  <c r="M68" i="9"/>
  <c r="N68" i="9"/>
  <c r="O68" i="9"/>
  <c r="P68" i="9"/>
  <c r="Q68" i="9"/>
  <c r="R68" i="9"/>
  <c r="S68" i="9"/>
  <c r="T68" i="9"/>
  <c r="U68" i="9"/>
  <c r="V68" i="9"/>
  <c r="W68" i="9"/>
  <c r="X68" i="9"/>
  <c r="Y68" i="9"/>
  <c r="Z68" i="9"/>
  <c r="AA68" i="9"/>
  <c r="AB68" i="9"/>
  <c r="AC68" i="9"/>
  <c r="AD68" i="9"/>
  <c r="AE68" i="9"/>
  <c r="AF68" i="9"/>
  <c r="AG68" i="9"/>
  <c r="AH68" i="9"/>
  <c r="AI68" i="9"/>
  <c r="AJ68" i="9"/>
  <c r="AK68" i="9"/>
  <c r="AL68" i="9"/>
  <c r="AM68" i="9"/>
  <c r="AN68" i="9"/>
  <c r="AO68" i="9"/>
  <c r="M69" i="9"/>
  <c r="N69" i="9"/>
  <c r="O69" i="9"/>
  <c r="P69" i="9"/>
  <c r="Q69" i="9"/>
  <c r="R69" i="9"/>
  <c r="S69" i="9"/>
  <c r="T69" i="9"/>
  <c r="U69" i="9"/>
  <c r="V69" i="9"/>
  <c r="W69" i="9"/>
  <c r="X69" i="9"/>
  <c r="Y69" i="9"/>
  <c r="Z69" i="9"/>
  <c r="AA69" i="9"/>
  <c r="AB69" i="9"/>
  <c r="AC69" i="9"/>
  <c r="AD69" i="9"/>
  <c r="AE69" i="9"/>
  <c r="AF69" i="9"/>
  <c r="AG69" i="9"/>
  <c r="AH69" i="9"/>
  <c r="AI69" i="9"/>
  <c r="AJ69" i="9"/>
  <c r="AK69" i="9"/>
  <c r="AL69" i="9"/>
  <c r="AM69" i="9"/>
  <c r="AN69" i="9"/>
  <c r="AO69" i="9"/>
  <c r="M70" i="9"/>
  <c r="N70" i="9"/>
  <c r="O70" i="9"/>
  <c r="P70" i="9"/>
  <c r="Q70" i="9"/>
  <c r="R70" i="9"/>
  <c r="S70" i="9"/>
  <c r="T70" i="9"/>
  <c r="U70" i="9"/>
  <c r="V70" i="9"/>
  <c r="W70" i="9"/>
  <c r="X70" i="9"/>
  <c r="Y70" i="9"/>
  <c r="Z70" i="9"/>
  <c r="AA70" i="9"/>
  <c r="AB70" i="9"/>
  <c r="AC70" i="9"/>
  <c r="AD70" i="9"/>
  <c r="AE70" i="9"/>
  <c r="AF70" i="9"/>
  <c r="AG70" i="9"/>
  <c r="AH70" i="9"/>
  <c r="AI70" i="9"/>
  <c r="AJ70" i="9"/>
  <c r="AK70" i="9"/>
  <c r="AL70" i="9"/>
  <c r="AM70" i="9"/>
  <c r="AN70" i="9"/>
  <c r="AO70" i="9"/>
  <c r="M71" i="9"/>
  <c r="N71" i="9"/>
  <c r="O71" i="9"/>
  <c r="P71" i="9"/>
  <c r="Q71" i="9"/>
  <c r="R71" i="9"/>
  <c r="S71" i="9"/>
  <c r="T71" i="9"/>
  <c r="U71" i="9"/>
  <c r="V71" i="9"/>
  <c r="W71" i="9"/>
  <c r="X71" i="9"/>
  <c r="Y71" i="9"/>
  <c r="Z71" i="9"/>
  <c r="AA71" i="9"/>
  <c r="AB71" i="9"/>
  <c r="AC71" i="9"/>
  <c r="AD71" i="9"/>
  <c r="AE71" i="9"/>
  <c r="AF71" i="9"/>
  <c r="AG71" i="9"/>
  <c r="AH71" i="9"/>
  <c r="AI71" i="9"/>
  <c r="AJ71" i="9"/>
  <c r="AK71" i="9"/>
  <c r="AL71" i="9"/>
  <c r="AM71" i="9"/>
  <c r="AN71" i="9"/>
  <c r="AO71" i="9"/>
  <c r="M72" i="9"/>
  <c r="N72" i="9"/>
  <c r="O72" i="9"/>
  <c r="P72" i="9"/>
  <c r="Q72" i="9"/>
  <c r="R72" i="9"/>
  <c r="S72" i="9"/>
  <c r="T72" i="9"/>
  <c r="U72" i="9"/>
  <c r="V72" i="9"/>
  <c r="W72" i="9"/>
  <c r="X72" i="9"/>
  <c r="Y72" i="9"/>
  <c r="Z72" i="9"/>
  <c r="AA72" i="9"/>
  <c r="AB72" i="9"/>
  <c r="AC72" i="9"/>
  <c r="AD72" i="9"/>
  <c r="AE72" i="9"/>
  <c r="AF72" i="9"/>
  <c r="AG72" i="9"/>
  <c r="AH72" i="9"/>
  <c r="AI72" i="9"/>
  <c r="AJ72" i="9"/>
  <c r="AK72" i="9"/>
  <c r="AL72" i="9"/>
  <c r="AM72" i="9"/>
  <c r="AN72" i="9"/>
  <c r="AO72" i="9"/>
  <c r="L72" i="9"/>
  <c r="L71" i="9"/>
  <c r="L70" i="9"/>
  <c r="L69" i="9"/>
  <c r="L68" i="9"/>
  <c r="L67" i="9"/>
  <c r="L66" i="9"/>
  <c r="H73" i="9"/>
  <c r="H64" i="9"/>
  <c r="H65" i="9"/>
  <c r="H66" i="9"/>
  <c r="H67" i="9"/>
  <c r="H68" i="9"/>
  <c r="H69" i="9"/>
  <c r="H70" i="9"/>
  <c r="H71" i="9"/>
  <c r="H72" i="9"/>
  <c r="H63" i="9"/>
  <c r="H62" i="9"/>
  <c r="H61" i="9"/>
  <c r="I16" i="8"/>
  <c r="H83" i="9" s="1"/>
  <c r="C380" i="8"/>
  <c r="D380" i="8" s="1"/>
  <c r="E380" i="8" s="1"/>
  <c r="F380" i="8" s="1"/>
  <c r="G380" i="8" s="1"/>
  <c r="H380" i="8" s="1"/>
  <c r="I380" i="8" s="1"/>
  <c r="J380" i="8" s="1"/>
  <c r="K380" i="8" s="1"/>
  <c r="M235" i="9" l="1"/>
  <c r="B25" i="12"/>
  <c r="B71" i="12" s="1"/>
  <c r="B131" i="12" s="1"/>
  <c r="H172" i="9"/>
  <c r="H256" i="9"/>
  <c r="M37" i="9"/>
  <c r="L42" i="9"/>
  <c r="L43" i="9"/>
  <c r="M42" i="9"/>
  <c r="L41" i="9"/>
  <c r="M41" i="9"/>
  <c r="M40" i="9"/>
  <c r="L39" i="9"/>
  <c r="L37" i="9"/>
  <c r="L40" i="9"/>
  <c r="M39" i="9"/>
  <c r="M43" i="9"/>
  <c r="M44" i="9"/>
  <c r="M38" i="9"/>
  <c r="L44" i="9"/>
  <c r="L38" i="9"/>
  <c r="D361" i="8" l="1"/>
  <c r="G91" i="11" s="1"/>
  <c r="N323" i="8" l="1"/>
  <c r="N324" i="8"/>
  <c r="N325" i="8"/>
  <c r="N322" i="8"/>
  <c r="Q322" i="8"/>
  <c r="O324" i="8"/>
  <c r="O325" i="8"/>
  <c r="O322" i="8"/>
  <c r="O323" i="8"/>
  <c r="P323" i="8"/>
  <c r="Q323" i="8" s="1"/>
  <c r="P324" i="8"/>
  <c r="Q324" i="8" s="1"/>
  <c r="P325" i="8"/>
  <c r="Q325" i="8" s="1"/>
  <c r="F312" i="8"/>
  <c r="M76" i="9" s="1"/>
  <c r="G312" i="8"/>
  <c r="N76" i="9" s="1"/>
  <c r="H312" i="8"/>
  <c r="O76" i="9" s="1"/>
  <c r="I312" i="8"/>
  <c r="P76" i="9" s="1"/>
  <c r="J312" i="8"/>
  <c r="Q76" i="9" s="1"/>
  <c r="K312" i="8"/>
  <c r="R76" i="9" s="1"/>
  <c r="L312" i="8"/>
  <c r="S76" i="9" s="1"/>
  <c r="M312" i="8"/>
  <c r="T76" i="9" s="1"/>
  <c r="N312" i="8"/>
  <c r="U76" i="9" s="1"/>
  <c r="O312" i="8"/>
  <c r="V76" i="9" s="1"/>
  <c r="P312" i="8"/>
  <c r="W76" i="9" s="1"/>
  <c r="Q312" i="8"/>
  <c r="X76" i="9" s="1"/>
  <c r="R312" i="8"/>
  <c r="Y76" i="9" s="1"/>
  <c r="S312" i="8"/>
  <c r="Z76" i="9" s="1"/>
  <c r="T312" i="8"/>
  <c r="AA76" i="9" s="1"/>
  <c r="U312" i="8"/>
  <c r="AB76" i="9" s="1"/>
  <c r="V312" i="8"/>
  <c r="AC76" i="9" s="1"/>
  <c r="W312" i="8"/>
  <c r="AD76" i="9" s="1"/>
  <c r="X312" i="8"/>
  <c r="AE76" i="9" s="1"/>
  <c r="Y312" i="8"/>
  <c r="AF76" i="9" s="1"/>
  <c r="Z312" i="8"/>
  <c r="AG76" i="9" s="1"/>
  <c r="AA312" i="8"/>
  <c r="AH76" i="9" s="1"/>
  <c r="AB312" i="8"/>
  <c r="AI76" i="9" s="1"/>
  <c r="AC312" i="8"/>
  <c r="AJ76" i="9" s="1"/>
  <c r="AD312" i="8"/>
  <c r="AK76" i="9" s="1"/>
  <c r="AE312" i="8"/>
  <c r="AL76" i="9" s="1"/>
  <c r="AF312" i="8"/>
  <c r="AM76" i="9" s="1"/>
  <c r="AG312" i="8"/>
  <c r="AN76" i="9" s="1"/>
  <c r="AH312" i="8"/>
  <c r="AO76" i="9" s="1"/>
  <c r="E312" i="8"/>
  <c r="L76" i="9" s="1"/>
  <c r="H288" i="8"/>
  <c r="M73" i="9" s="1"/>
  <c r="I288" i="8"/>
  <c r="N73" i="9" s="1"/>
  <c r="J288" i="8"/>
  <c r="O73" i="9" s="1"/>
  <c r="K288" i="8"/>
  <c r="P73" i="9" s="1"/>
  <c r="L288" i="8"/>
  <c r="Q73" i="9" s="1"/>
  <c r="M288" i="8"/>
  <c r="R73" i="9" s="1"/>
  <c r="N288" i="8"/>
  <c r="S73" i="9" s="1"/>
  <c r="O288" i="8"/>
  <c r="T73" i="9" s="1"/>
  <c r="P288" i="8"/>
  <c r="U73" i="9" s="1"/>
  <c r="Q288" i="8"/>
  <c r="V73" i="9" s="1"/>
  <c r="R288" i="8"/>
  <c r="W73" i="9" s="1"/>
  <c r="S288" i="8"/>
  <c r="X73" i="9" s="1"/>
  <c r="T288" i="8"/>
  <c r="Y73" i="9" s="1"/>
  <c r="U288" i="8"/>
  <c r="Z73" i="9" s="1"/>
  <c r="V288" i="8"/>
  <c r="AA73" i="9" s="1"/>
  <c r="W288" i="8"/>
  <c r="AB73" i="9" s="1"/>
  <c r="X288" i="8"/>
  <c r="AC73" i="9" s="1"/>
  <c r="Y288" i="8"/>
  <c r="AD73" i="9" s="1"/>
  <c r="Z288" i="8"/>
  <c r="AE73" i="9" s="1"/>
  <c r="AA288" i="8"/>
  <c r="AF73" i="9" s="1"/>
  <c r="AB288" i="8"/>
  <c r="AG73" i="9" s="1"/>
  <c r="AC288" i="8"/>
  <c r="AH73" i="9" s="1"/>
  <c r="AD288" i="8"/>
  <c r="AI73" i="9" s="1"/>
  <c r="AE288" i="8"/>
  <c r="AJ73" i="9" s="1"/>
  <c r="AF288" i="8"/>
  <c r="AK73" i="9" s="1"/>
  <c r="AG288" i="8"/>
  <c r="AL73" i="9" s="1"/>
  <c r="AH288" i="8"/>
  <c r="AM73" i="9" s="1"/>
  <c r="AI288" i="8"/>
  <c r="AN73" i="9" s="1"/>
  <c r="AJ288" i="8"/>
  <c r="AO73" i="9" s="1"/>
  <c r="G288" i="8"/>
  <c r="L73" i="9" s="1"/>
  <c r="E266" i="8"/>
  <c r="M62" i="9" s="1"/>
  <c r="D266" i="8"/>
  <c r="L62" i="9" s="1"/>
  <c r="A209" i="8"/>
  <c r="G208" i="8" s="1"/>
  <c r="M77" i="8"/>
  <c r="M78" i="8"/>
  <c r="M76" i="8"/>
  <c r="M57" i="8"/>
  <c r="E38" i="9" s="1"/>
  <c r="M58" i="8"/>
  <c r="E39" i="9" s="1"/>
  <c r="M59" i="8"/>
  <c r="E40" i="9" s="1"/>
  <c r="M60" i="8"/>
  <c r="E41" i="9" s="1"/>
  <c r="M61" i="8"/>
  <c r="E42" i="9" s="1"/>
  <c r="M62" i="8"/>
  <c r="E43" i="9" s="1"/>
  <c r="M63" i="8"/>
  <c r="E44" i="9" s="1"/>
  <c r="M64" i="8"/>
  <c r="E45" i="9" s="1"/>
  <c r="M65" i="8"/>
  <c r="E46" i="9" s="1"/>
  <c r="M66" i="8"/>
  <c r="E47" i="9" s="1"/>
  <c r="M67" i="8"/>
  <c r="E48" i="9" s="1"/>
  <c r="M68" i="8"/>
  <c r="E49" i="9" s="1"/>
  <c r="M69" i="8"/>
  <c r="E50" i="9" s="1"/>
  <c r="M70" i="8"/>
  <c r="E51" i="9" s="1"/>
  <c r="M71" i="8"/>
  <c r="E52" i="9" s="1"/>
  <c r="M72" i="8"/>
  <c r="E53" i="9" s="1"/>
  <c r="M73" i="8"/>
  <c r="E54" i="9" s="1"/>
  <c r="M74" i="8"/>
  <c r="E55" i="9" s="1"/>
  <c r="M75" i="8"/>
  <c r="E56" i="9" s="1"/>
  <c r="M56" i="8"/>
  <c r="E37" i="9" s="1"/>
  <c r="P79" i="8"/>
  <c r="M132" i="9" s="1"/>
  <c r="Q79" i="8"/>
  <c r="N132" i="9" s="1"/>
  <c r="N133" i="9" s="1"/>
  <c r="R79" i="8"/>
  <c r="O132" i="9" s="1"/>
  <c r="S79" i="8"/>
  <c r="P132" i="9" s="1"/>
  <c r="T79" i="8"/>
  <c r="Q132" i="9" s="1"/>
  <c r="U79" i="8"/>
  <c r="R132" i="9" s="1"/>
  <c r="V79" i="8"/>
  <c r="S132" i="9" s="1"/>
  <c r="W79" i="8"/>
  <c r="T132" i="9" s="1"/>
  <c r="X79" i="8"/>
  <c r="U132" i="9" s="1"/>
  <c r="Y79" i="8"/>
  <c r="V132" i="9" s="1"/>
  <c r="Z79" i="8"/>
  <c r="W132" i="9" s="1"/>
  <c r="AA79" i="8"/>
  <c r="X132" i="9" s="1"/>
  <c r="AB79" i="8"/>
  <c r="Y132" i="9" s="1"/>
  <c r="AC79" i="8"/>
  <c r="Z132" i="9" s="1"/>
  <c r="AD79" i="8"/>
  <c r="AA132" i="9" s="1"/>
  <c r="AE79" i="8"/>
  <c r="AB132" i="9" s="1"/>
  <c r="AF79" i="8"/>
  <c r="AC132" i="9" s="1"/>
  <c r="AG79" i="8"/>
  <c r="AD132" i="9" s="1"/>
  <c r="AH79" i="8"/>
  <c r="AE132" i="9" s="1"/>
  <c r="AI79" i="8"/>
  <c r="AF132" i="9" s="1"/>
  <c r="AJ79" i="8"/>
  <c r="AG132" i="9" s="1"/>
  <c r="AK79" i="8"/>
  <c r="AH132" i="9" s="1"/>
  <c r="AL79" i="8"/>
  <c r="AI132" i="9" s="1"/>
  <c r="AM79" i="8"/>
  <c r="AJ132" i="9" s="1"/>
  <c r="AN79" i="8"/>
  <c r="AK132" i="9" s="1"/>
  <c r="AO79" i="8"/>
  <c r="AL132" i="9" s="1"/>
  <c r="AP79" i="8"/>
  <c r="AM132" i="9" s="1"/>
  <c r="AQ79" i="8"/>
  <c r="AN132" i="9" s="1"/>
  <c r="AR79" i="8"/>
  <c r="AO132" i="9" s="1"/>
  <c r="O79" i="8"/>
  <c r="L132" i="9" s="1"/>
  <c r="L76" i="8"/>
  <c r="L77" i="8"/>
  <c r="L78" i="8"/>
  <c r="F266" i="8"/>
  <c r="N62" i="9" s="1"/>
  <c r="G266" i="8"/>
  <c r="O62" i="9" s="1"/>
  <c r="H266" i="8"/>
  <c r="P62" i="9" s="1"/>
  <c r="I266" i="8"/>
  <c r="Q62" i="9" s="1"/>
  <c r="J266" i="8"/>
  <c r="R62" i="9" s="1"/>
  <c r="K266" i="8"/>
  <c r="S62" i="9" s="1"/>
  <c r="L266" i="8"/>
  <c r="T62" i="9" s="1"/>
  <c r="M266" i="8"/>
  <c r="U62" i="9" s="1"/>
  <c r="N266" i="8"/>
  <c r="V62" i="9" s="1"/>
  <c r="O266" i="8"/>
  <c r="W62" i="9" s="1"/>
  <c r="P266" i="8"/>
  <c r="X62" i="9" s="1"/>
  <c r="Q266" i="8"/>
  <c r="Y62" i="9" s="1"/>
  <c r="R266" i="8"/>
  <c r="Z62" i="9" s="1"/>
  <c r="S266" i="8"/>
  <c r="AA62" i="9" s="1"/>
  <c r="T266" i="8"/>
  <c r="AB62" i="9" s="1"/>
  <c r="U266" i="8"/>
  <c r="AC62" i="9" s="1"/>
  <c r="V266" i="8"/>
  <c r="AD62" i="9" s="1"/>
  <c r="W266" i="8"/>
  <c r="AE62" i="9" s="1"/>
  <c r="X266" i="8"/>
  <c r="AF62" i="9" s="1"/>
  <c r="Y266" i="8"/>
  <c r="AG62" i="9" s="1"/>
  <c r="Z266" i="8"/>
  <c r="AH62" i="9" s="1"/>
  <c r="AA266" i="8"/>
  <c r="AI62" i="9" s="1"/>
  <c r="AB266" i="8"/>
  <c r="AJ62" i="9" s="1"/>
  <c r="AC266" i="8"/>
  <c r="AK62" i="9" s="1"/>
  <c r="AD266" i="8"/>
  <c r="AL62" i="9" s="1"/>
  <c r="AE266" i="8"/>
  <c r="AM62" i="9" s="1"/>
  <c r="AF266" i="8"/>
  <c r="AN62" i="9" s="1"/>
  <c r="AG266" i="8"/>
  <c r="AO62" i="9" s="1"/>
  <c r="N77" i="8"/>
  <c r="K77" i="8"/>
  <c r="K78" i="8"/>
  <c r="B77" i="8"/>
  <c r="E77" i="8" s="1"/>
  <c r="C47" i="8"/>
  <c r="D77" i="8" s="1"/>
  <c r="C48" i="8"/>
  <c r="C46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43" i="8"/>
  <c r="E239" i="8"/>
  <c r="F239" i="8"/>
  <c r="G239" i="8"/>
  <c r="H239" i="8"/>
  <c r="I239" i="8"/>
  <c r="J239" i="8"/>
  <c r="K239" i="8"/>
  <c r="L239" i="8"/>
  <c r="M239" i="8"/>
  <c r="N239" i="8"/>
  <c r="O239" i="8"/>
  <c r="P239" i="8"/>
  <c r="Q239" i="8"/>
  <c r="R239" i="8"/>
  <c r="S239" i="8"/>
  <c r="T239" i="8"/>
  <c r="U239" i="8"/>
  <c r="V239" i="8"/>
  <c r="W239" i="8"/>
  <c r="X239" i="8"/>
  <c r="Y239" i="8"/>
  <c r="Z239" i="8"/>
  <c r="AA239" i="8"/>
  <c r="AB239" i="8"/>
  <c r="AC239" i="8"/>
  <c r="AD239" i="8"/>
  <c r="AE239" i="8"/>
  <c r="AF239" i="8"/>
  <c r="AG239" i="8"/>
  <c r="D239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06" i="8"/>
  <c r="D107" i="8"/>
  <c r="D108" i="8"/>
  <c r="D109" i="8"/>
  <c r="D110" i="8"/>
  <c r="D111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A61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F101" i="8"/>
  <c r="G18" i="13" s="1"/>
  <c r="AG133" i="9" l="1"/>
  <c r="AG135" i="9" s="1"/>
  <c r="AG272" i="9"/>
  <c r="AG276" i="9" s="1"/>
  <c r="AG278" i="9" s="1"/>
  <c r="Y133" i="9"/>
  <c r="Y135" i="9" s="1"/>
  <c r="Y272" i="9"/>
  <c r="Y276" i="9" s="1"/>
  <c r="Y278" i="9" s="1"/>
  <c r="AN133" i="9"/>
  <c r="AN135" i="9" s="1"/>
  <c r="AN272" i="9"/>
  <c r="AN276" i="9" s="1"/>
  <c r="AN278" i="9" s="1"/>
  <c r="AE133" i="9"/>
  <c r="AE135" i="9" s="1"/>
  <c r="AE272" i="9"/>
  <c r="AE276" i="9" s="1"/>
  <c r="AE278" i="9" s="1"/>
  <c r="AL133" i="9"/>
  <c r="AL135" i="9" s="1"/>
  <c r="AL272" i="9"/>
  <c r="AL276" i="9" s="1"/>
  <c r="AL278" i="9" s="1"/>
  <c r="AD133" i="9"/>
  <c r="AD135" i="9" s="1"/>
  <c r="AD272" i="9"/>
  <c r="AD276" i="9" s="1"/>
  <c r="AD278" i="9" s="1"/>
  <c r="V133" i="9"/>
  <c r="V135" i="9" s="1"/>
  <c r="V272" i="9"/>
  <c r="V276" i="9" s="1"/>
  <c r="V278" i="9" s="1"/>
  <c r="N135" i="9"/>
  <c r="N272" i="9"/>
  <c r="N276" i="9" s="1"/>
  <c r="N278" i="9" s="1"/>
  <c r="P133" i="9"/>
  <c r="P135" i="9" s="1"/>
  <c r="P272" i="9"/>
  <c r="P276" i="9" s="1"/>
  <c r="P278" i="9" s="1"/>
  <c r="AK133" i="9"/>
  <c r="AK135" i="9" s="1"/>
  <c r="AK272" i="9"/>
  <c r="AK276" i="9" s="1"/>
  <c r="AK278" i="9" s="1"/>
  <c r="AC133" i="9"/>
  <c r="AC135" i="9" s="1"/>
  <c r="AC272" i="9"/>
  <c r="AC276" i="9" s="1"/>
  <c r="AC278" i="9" s="1"/>
  <c r="U133" i="9"/>
  <c r="U135" i="9" s="1"/>
  <c r="U272" i="9"/>
  <c r="U276" i="9" s="1"/>
  <c r="U278" i="9" s="1"/>
  <c r="M133" i="9"/>
  <c r="M135" i="9" s="1"/>
  <c r="M272" i="9"/>
  <c r="M276" i="9" s="1"/>
  <c r="M278" i="9" s="1"/>
  <c r="AO133" i="9"/>
  <c r="AO135" i="9" s="1"/>
  <c r="AO272" i="9"/>
  <c r="AO276" i="9" s="1"/>
  <c r="AO278" i="9" s="1"/>
  <c r="AM133" i="9"/>
  <c r="AM135" i="9" s="1"/>
  <c r="AM272" i="9"/>
  <c r="AM276" i="9" s="1"/>
  <c r="AM278" i="9" s="1"/>
  <c r="O133" i="9"/>
  <c r="O135" i="9" s="1"/>
  <c r="O272" i="9"/>
  <c r="O276" i="9" s="1"/>
  <c r="O278" i="9" s="1"/>
  <c r="AJ133" i="9"/>
  <c r="AJ135" i="9" s="1"/>
  <c r="AJ272" i="9"/>
  <c r="AJ276" i="9" s="1"/>
  <c r="AJ278" i="9" s="1"/>
  <c r="AB133" i="9"/>
  <c r="AB135" i="9" s="1"/>
  <c r="AB272" i="9"/>
  <c r="AB276" i="9" s="1"/>
  <c r="AB278" i="9" s="1"/>
  <c r="T133" i="9"/>
  <c r="T135" i="9" s="1"/>
  <c r="T272" i="9"/>
  <c r="T276" i="9" s="1"/>
  <c r="T278" i="9" s="1"/>
  <c r="X133" i="9"/>
  <c r="X135" i="9" s="1"/>
  <c r="X272" i="9"/>
  <c r="X276" i="9" s="1"/>
  <c r="X278" i="9" s="1"/>
  <c r="W133" i="9"/>
  <c r="W135" i="9" s="1"/>
  <c r="W272" i="9"/>
  <c r="W276" i="9" s="1"/>
  <c r="W278" i="9" s="1"/>
  <c r="AI133" i="9"/>
  <c r="AI135" i="9" s="1"/>
  <c r="AI272" i="9"/>
  <c r="AI276" i="9" s="1"/>
  <c r="AI278" i="9" s="1"/>
  <c r="AA133" i="9"/>
  <c r="AA135" i="9" s="1"/>
  <c r="AA272" i="9"/>
  <c r="AA276" i="9" s="1"/>
  <c r="AA278" i="9" s="1"/>
  <c r="S133" i="9"/>
  <c r="S135" i="9" s="1"/>
  <c r="S272" i="9"/>
  <c r="S276" i="9" s="1"/>
  <c r="S278" i="9" s="1"/>
  <c r="Q133" i="9"/>
  <c r="Q135" i="9" s="1"/>
  <c r="Q272" i="9"/>
  <c r="Q276" i="9" s="1"/>
  <c r="Q278" i="9" s="1"/>
  <c r="AF133" i="9"/>
  <c r="AF135" i="9" s="1"/>
  <c r="AF272" i="9"/>
  <c r="AF276" i="9" s="1"/>
  <c r="AF278" i="9" s="1"/>
  <c r="L133" i="9"/>
  <c r="L135" i="9" s="1"/>
  <c r="L272" i="9"/>
  <c r="L276" i="9" s="1"/>
  <c r="L278" i="9" s="1"/>
  <c r="AH133" i="9"/>
  <c r="AH135" i="9" s="1"/>
  <c r="AH272" i="9"/>
  <c r="AH276" i="9" s="1"/>
  <c r="AH278" i="9" s="1"/>
  <c r="Z133" i="9"/>
  <c r="Z135" i="9" s="1"/>
  <c r="Z272" i="9"/>
  <c r="Z276" i="9" s="1"/>
  <c r="Z278" i="9" s="1"/>
  <c r="R133" i="9"/>
  <c r="R135" i="9" s="1"/>
  <c r="R272" i="9"/>
  <c r="R276" i="9" s="1"/>
  <c r="R278" i="9" s="1"/>
  <c r="H197" i="8"/>
  <c r="L53" i="9"/>
  <c r="M53" i="9"/>
  <c r="L47" i="9"/>
  <c r="M47" i="9"/>
  <c r="L52" i="9"/>
  <c r="M52" i="9"/>
  <c r="M46" i="9"/>
  <c r="L46" i="9"/>
  <c r="M51" i="9"/>
  <c r="L51" i="9"/>
  <c r="L45" i="9"/>
  <c r="M45" i="9"/>
  <c r="L56" i="9"/>
  <c r="M56" i="9"/>
  <c r="M50" i="9"/>
  <c r="L50" i="9"/>
  <c r="L55" i="9"/>
  <c r="M55" i="9"/>
  <c r="L49" i="9"/>
  <c r="M49" i="9"/>
  <c r="M54" i="9"/>
  <c r="L54" i="9"/>
  <c r="L48" i="9"/>
  <c r="M48" i="9"/>
  <c r="H189" i="8"/>
  <c r="H205" i="8"/>
  <c r="G200" i="8"/>
  <c r="D192" i="8"/>
  <c r="AF199" i="8"/>
  <c r="E191" i="8"/>
  <c r="K196" i="8"/>
  <c r="H206" i="8"/>
  <c r="M198" i="8"/>
  <c r="M190" i="8"/>
  <c r="K204" i="8"/>
  <c r="K188" i="8"/>
  <c r="E195" i="8"/>
  <c r="F200" i="8"/>
  <c r="I202" i="8"/>
  <c r="I194" i="8"/>
  <c r="F187" i="8"/>
  <c r="F199" i="8"/>
  <c r="E204" i="8"/>
  <c r="AF205" i="8"/>
  <c r="X199" i="8"/>
  <c r="M192" i="8"/>
  <c r="AF191" i="8"/>
  <c r="O202" i="8"/>
  <c r="G194" i="8"/>
  <c r="E198" i="8"/>
  <c r="AD205" i="8"/>
  <c r="AA198" i="8"/>
  <c r="F198" i="8"/>
  <c r="E196" i="8"/>
  <c r="V205" i="8"/>
  <c r="S198" i="8"/>
  <c r="P191" i="8"/>
  <c r="F197" i="8"/>
  <c r="E192" i="8"/>
  <c r="N205" i="8"/>
  <c r="K198" i="8"/>
  <c r="H191" i="8"/>
  <c r="W200" i="8"/>
  <c r="U192" i="8"/>
  <c r="F192" i="8"/>
  <c r="I204" i="8"/>
  <c r="AD197" i="8"/>
  <c r="AA190" i="8"/>
  <c r="H199" i="8"/>
  <c r="X191" i="8"/>
  <c r="F191" i="8"/>
  <c r="U200" i="8"/>
  <c r="V197" i="8"/>
  <c r="S190" i="8"/>
  <c r="F206" i="8"/>
  <c r="F190" i="8"/>
  <c r="E190" i="8"/>
  <c r="N197" i="8"/>
  <c r="K190" i="8"/>
  <c r="F205" i="8"/>
  <c r="F189" i="8"/>
  <c r="U206" i="8"/>
  <c r="Q196" i="8"/>
  <c r="Q204" i="8"/>
  <c r="Y196" i="8"/>
  <c r="E188" i="8"/>
  <c r="G202" i="8"/>
  <c r="AE194" i="8"/>
  <c r="AE202" i="8"/>
  <c r="W194" i="8"/>
  <c r="W202" i="8"/>
  <c r="O194" i="8"/>
  <c r="O200" i="8"/>
  <c r="I196" i="8"/>
  <c r="M200" i="8"/>
  <c r="H200" i="8"/>
  <c r="AG204" i="8"/>
  <c r="J199" i="8"/>
  <c r="J191" i="8"/>
  <c r="D200" i="8"/>
  <c r="Y204" i="8"/>
  <c r="AC200" i="8"/>
  <c r="P199" i="8"/>
  <c r="AG196" i="8"/>
  <c r="AC192" i="8"/>
  <c r="G192" i="8"/>
  <c r="E200" i="8"/>
  <c r="AE200" i="8"/>
  <c r="E199" i="8"/>
  <c r="E187" i="8"/>
  <c r="N187" i="8"/>
  <c r="AD208" i="8"/>
  <c r="U208" i="8"/>
  <c r="AB208" i="8"/>
  <c r="T208" i="8"/>
  <c r="L208" i="8"/>
  <c r="E208" i="8"/>
  <c r="AC208" i="8"/>
  <c r="AA208" i="8"/>
  <c r="S208" i="8"/>
  <c r="K208" i="8"/>
  <c r="N208" i="8"/>
  <c r="M208" i="8"/>
  <c r="Z208" i="8"/>
  <c r="R208" i="8"/>
  <c r="J208" i="8"/>
  <c r="V208" i="8"/>
  <c r="AG208" i="8"/>
  <c r="Y208" i="8"/>
  <c r="Q208" i="8"/>
  <c r="I208" i="8"/>
  <c r="AF208" i="8"/>
  <c r="X208" i="8"/>
  <c r="P208" i="8"/>
  <c r="H208" i="8"/>
  <c r="F208" i="8"/>
  <c r="AE208" i="8"/>
  <c r="W208" i="8"/>
  <c r="O208" i="8"/>
  <c r="S206" i="8"/>
  <c r="AG206" i="8"/>
  <c r="AE206" i="8"/>
  <c r="O206" i="8"/>
  <c r="E206" i="8"/>
  <c r="AD206" i="8"/>
  <c r="N206" i="8"/>
  <c r="M206" i="8"/>
  <c r="AA206" i="8"/>
  <c r="K206" i="8"/>
  <c r="AC206" i="8"/>
  <c r="W206" i="8"/>
  <c r="G206" i="8"/>
  <c r="V206" i="8"/>
  <c r="L201" i="8"/>
  <c r="T201" i="8"/>
  <c r="AB201" i="8"/>
  <c r="M201" i="8"/>
  <c r="U201" i="8"/>
  <c r="AC201" i="8"/>
  <c r="D201" i="8"/>
  <c r="Z201" i="8"/>
  <c r="N201" i="8"/>
  <c r="V201" i="8"/>
  <c r="AD201" i="8"/>
  <c r="E201" i="8"/>
  <c r="F201" i="8"/>
  <c r="J201" i="8"/>
  <c r="R201" i="8"/>
  <c r="G201" i="8"/>
  <c r="O201" i="8"/>
  <c r="W201" i="8"/>
  <c r="AE201" i="8"/>
  <c r="H201" i="8"/>
  <c r="P201" i="8"/>
  <c r="X201" i="8"/>
  <c r="AF201" i="8"/>
  <c r="I201" i="8"/>
  <c r="Q201" i="8"/>
  <c r="Y201" i="8"/>
  <c r="AG201" i="8"/>
  <c r="K201" i="8"/>
  <c r="S201" i="8"/>
  <c r="AA201" i="8"/>
  <c r="N203" i="8"/>
  <c r="V203" i="8"/>
  <c r="AD203" i="8"/>
  <c r="G203" i="8"/>
  <c r="O203" i="8"/>
  <c r="W203" i="8"/>
  <c r="AE203" i="8"/>
  <c r="H203" i="8"/>
  <c r="P203" i="8"/>
  <c r="X203" i="8"/>
  <c r="AF203" i="8"/>
  <c r="AB203" i="8"/>
  <c r="I203" i="8"/>
  <c r="Q203" i="8"/>
  <c r="Y203" i="8"/>
  <c r="AG203" i="8"/>
  <c r="F203" i="8"/>
  <c r="L203" i="8"/>
  <c r="J203" i="8"/>
  <c r="R203" i="8"/>
  <c r="Z203" i="8"/>
  <c r="T203" i="8"/>
  <c r="K203" i="8"/>
  <c r="S203" i="8"/>
  <c r="AA203" i="8"/>
  <c r="D203" i="8"/>
  <c r="M203" i="8"/>
  <c r="U203" i="8"/>
  <c r="AC203" i="8"/>
  <c r="N195" i="8"/>
  <c r="V195" i="8"/>
  <c r="AD195" i="8"/>
  <c r="G195" i="8"/>
  <c r="O195" i="8"/>
  <c r="W195" i="8"/>
  <c r="AE195" i="8"/>
  <c r="H195" i="8"/>
  <c r="P195" i="8"/>
  <c r="X195" i="8"/>
  <c r="AF195" i="8"/>
  <c r="T195" i="8"/>
  <c r="I195" i="8"/>
  <c r="Q195" i="8"/>
  <c r="Y195" i="8"/>
  <c r="AG195" i="8"/>
  <c r="L195" i="8"/>
  <c r="AB195" i="8"/>
  <c r="J195" i="8"/>
  <c r="R195" i="8"/>
  <c r="Z195" i="8"/>
  <c r="F195" i="8"/>
  <c r="K195" i="8"/>
  <c r="S195" i="8"/>
  <c r="AA195" i="8"/>
  <c r="D195" i="8"/>
  <c r="M195" i="8"/>
  <c r="U195" i="8"/>
  <c r="AC195" i="8"/>
  <c r="L193" i="8"/>
  <c r="T193" i="8"/>
  <c r="AB193" i="8"/>
  <c r="M193" i="8"/>
  <c r="U193" i="8"/>
  <c r="AC193" i="8"/>
  <c r="D193" i="8"/>
  <c r="N193" i="8"/>
  <c r="V193" i="8"/>
  <c r="AD193" i="8"/>
  <c r="E193" i="8"/>
  <c r="F193" i="8"/>
  <c r="G193" i="8"/>
  <c r="O193" i="8"/>
  <c r="W193" i="8"/>
  <c r="AE193" i="8"/>
  <c r="Z193" i="8"/>
  <c r="H193" i="8"/>
  <c r="P193" i="8"/>
  <c r="X193" i="8"/>
  <c r="AF193" i="8"/>
  <c r="J193" i="8"/>
  <c r="R193" i="8"/>
  <c r="I193" i="8"/>
  <c r="Q193" i="8"/>
  <c r="Y193" i="8"/>
  <c r="AG193" i="8"/>
  <c r="K193" i="8"/>
  <c r="S193" i="8"/>
  <c r="AA193" i="8"/>
  <c r="E203" i="8"/>
  <c r="D204" i="8"/>
  <c r="D196" i="8"/>
  <c r="D188" i="8"/>
  <c r="AB206" i="8"/>
  <c r="T206" i="8"/>
  <c r="L206" i="8"/>
  <c r="AE205" i="8"/>
  <c r="W205" i="8"/>
  <c r="O205" i="8"/>
  <c r="G205" i="8"/>
  <c r="Z204" i="8"/>
  <c r="R204" i="8"/>
  <c r="J204" i="8"/>
  <c r="AF202" i="8"/>
  <c r="X202" i="8"/>
  <c r="P202" i="8"/>
  <c r="H202" i="8"/>
  <c r="AD200" i="8"/>
  <c r="V200" i="8"/>
  <c r="N200" i="8"/>
  <c r="AG199" i="8"/>
  <c r="Y199" i="8"/>
  <c r="Q199" i="8"/>
  <c r="I199" i="8"/>
  <c r="AB198" i="8"/>
  <c r="T198" i="8"/>
  <c r="L198" i="8"/>
  <c r="AE197" i="8"/>
  <c r="W197" i="8"/>
  <c r="O197" i="8"/>
  <c r="G197" i="8"/>
  <c r="Z196" i="8"/>
  <c r="R196" i="8"/>
  <c r="J196" i="8"/>
  <c r="AF194" i="8"/>
  <c r="X194" i="8"/>
  <c r="P194" i="8"/>
  <c r="H194" i="8"/>
  <c r="AD192" i="8"/>
  <c r="V192" i="8"/>
  <c r="N192" i="8"/>
  <c r="AG191" i="8"/>
  <c r="Y191" i="8"/>
  <c r="Q191" i="8"/>
  <c r="I191" i="8"/>
  <c r="AB190" i="8"/>
  <c r="T190" i="8"/>
  <c r="L190" i="8"/>
  <c r="AE189" i="8"/>
  <c r="W189" i="8"/>
  <c r="O189" i="8"/>
  <c r="G189" i="8"/>
  <c r="Z188" i="8"/>
  <c r="R188" i="8"/>
  <c r="J188" i="8"/>
  <c r="AC187" i="8"/>
  <c r="U187" i="8"/>
  <c r="M187" i="8"/>
  <c r="AD189" i="8"/>
  <c r="V189" i="8"/>
  <c r="N189" i="8"/>
  <c r="AG188" i="8"/>
  <c r="Y188" i="8"/>
  <c r="Q188" i="8"/>
  <c r="I188" i="8"/>
  <c r="AB187" i="8"/>
  <c r="T187" i="8"/>
  <c r="L187" i="8"/>
  <c r="F204" i="8"/>
  <c r="F196" i="8"/>
  <c r="F188" i="8"/>
  <c r="D199" i="8"/>
  <c r="D191" i="8"/>
  <c r="Z206" i="8"/>
  <c r="R206" i="8"/>
  <c r="J206" i="8"/>
  <c r="AC205" i="8"/>
  <c r="U205" i="8"/>
  <c r="M205" i="8"/>
  <c r="AF204" i="8"/>
  <c r="X204" i="8"/>
  <c r="P204" i="8"/>
  <c r="H204" i="8"/>
  <c r="AD202" i="8"/>
  <c r="V202" i="8"/>
  <c r="N202" i="8"/>
  <c r="AB200" i="8"/>
  <c r="T200" i="8"/>
  <c r="L200" i="8"/>
  <c r="AE199" i="8"/>
  <c r="W199" i="8"/>
  <c r="O199" i="8"/>
  <c r="G199" i="8"/>
  <c r="Z198" i="8"/>
  <c r="R198" i="8"/>
  <c r="J198" i="8"/>
  <c r="AC197" i="8"/>
  <c r="U197" i="8"/>
  <c r="M197" i="8"/>
  <c r="AF196" i="8"/>
  <c r="X196" i="8"/>
  <c r="P196" i="8"/>
  <c r="H196" i="8"/>
  <c r="AD194" i="8"/>
  <c r="V194" i="8"/>
  <c r="N194" i="8"/>
  <c r="AB192" i="8"/>
  <c r="T192" i="8"/>
  <c r="L192" i="8"/>
  <c r="AE191" i="8"/>
  <c r="W191" i="8"/>
  <c r="O191" i="8"/>
  <c r="G191" i="8"/>
  <c r="Z190" i="8"/>
  <c r="R190" i="8"/>
  <c r="J190" i="8"/>
  <c r="AC189" i="8"/>
  <c r="U189" i="8"/>
  <c r="M189" i="8"/>
  <c r="AF188" i="8"/>
  <c r="X188" i="8"/>
  <c r="P188" i="8"/>
  <c r="H188" i="8"/>
  <c r="AA187" i="8"/>
  <c r="S187" i="8"/>
  <c r="K187" i="8"/>
  <c r="E202" i="8"/>
  <c r="Y206" i="8"/>
  <c r="Q206" i="8"/>
  <c r="I206" i="8"/>
  <c r="AB205" i="8"/>
  <c r="T205" i="8"/>
  <c r="L205" i="8"/>
  <c r="AE204" i="8"/>
  <c r="W204" i="8"/>
  <c r="O204" i="8"/>
  <c r="G204" i="8"/>
  <c r="AC202" i="8"/>
  <c r="U202" i="8"/>
  <c r="M202" i="8"/>
  <c r="AA200" i="8"/>
  <c r="S200" i="8"/>
  <c r="K200" i="8"/>
  <c r="AD199" i="8"/>
  <c r="V199" i="8"/>
  <c r="N199" i="8"/>
  <c r="AG198" i="8"/>
  <c r="Y198" i="8"/>
  <c r="Q198" i="8"/>
  <c r="I198" i="8"/>
  <c r="AB197" i="8"/>
  <c r="T197" i="8"/>
  <c r="L197" i="8"/>
  <c r="AE196" i="8"/>
  <c r="W196" i="8"/>
  <c r="O196" i="8"/>
  <c r="G196" i="8"/>
  <c r="AC194" i="8"/>
  <c r="U194" i="8"/>
  <c r="M194" i="8"/>
  <c r="AA192" i="8"/>
  <c r="S192" i="8"/>
  <c r="K192" i="8"/>
  <c r="AD191" i="8"/>
  <c r="V191" i="8"/>
  <c r="N191" i="8"/>
  <c r="AG190" i="8"/>
  <c r="Y190" i="8"/>
  <c r="Q190" i="8"/>
  <c r="I190" i="8"/>
  <c r="AB189" i="8"/>
  <c r="T189" i="8"/>
  <c r="L189" i="8"/>
  <c r="AE188" i="8"/>
  <c r="W188" i="8"/>
  <c r="O188" i="8"/>
  <c r="G188" i="8"/>
  <c r="Z187" i="8"/>
  <c r="R187" i="8"/>
  <c r="J187" i="8"/>
  <c r="E194" i="8"/>
  <c r="F202" i="8"/>
  <c r="F194" i="8"/>
  <c r="D206" i="8"/>
  <c r="D202" i="8"/>
  <c r="D198" i="8"/>
  <c r="D194" i="8"/>
  <c r="D190" i="8"/>
  <c r="AF206" i="8"/>
  <c r="X206" i="8"/>
  <c r="P206" i="8"/>
  <c r="AA205" i="8"/>
  <c r="S205" i="8"/>
  <c r="K205" i="8"/>
  <c r="AD204" i="8"/>
  <c r="V204" i="8"/>
  <c r="N204" i="8"/>
  <c r="AB202" i="8"/>
  <c r="T202" i="8"/>
  <c r="L202" i="8"/>
  <c r="Z200" i="8"/>
  <c r="R200" i="8"/>
  <c r="J200" i="8"/>
  <c r="AC199" i="8"/>
  <c r="U199" i="8"/>
  <c r="M199" i="8"/>
  <c r="AF198" i="8"/>
  <c r="X198" i="8"/>
  <c r="P198" i="8"/>
  <c r="H198" i="8"/>
  <c r="AA197" i="8"/>
  <c r="S197" i="8"/>
  <c r="K197" i="8"/>
  <c r="AD196" i="8"/>
  <c r="V196" i="8"/>
  <c r="N196" i="8"/>
  <c r="AB194" i="8"/>
  <c r="T194" i="8"/>
  <c r="L194" i="8"/>
  <c r="Z192" i="8"/>
  <c r="R192" i="8"/>
  <c r="J192" i="8"/>
  <c r="AC191" i="8"/>
  <c r="U191" i="8"/>
  <c r="M191" i="8"/>
  <c r="AF190" i="8"/>
  <c r="X190" i="8"/>
  <c r="P190" i="8"/>
  <c r="H190" i="8"/>
  <c r="AA189" i="8"/>
  <c r="S189" i="8"/>
  <c r="K189" i="8"/>
  <c r="AD188" i="8"/>
  <c r="V188" i="8"/>
  <c r="N188" i="8"/>
  <c r="AG187" i="8"/>
  <c r="Y187" i="8"/>
  <c r="Q187" i="8"/>
  <c r="I187" i="8"/>
  <c r="E205" i="8"/>
  <c r="E197" i="8"/>
  <c r="E189" i="8"/>
  <c r="Z205" i="8"/>
  <c r="R205" i="8"/>
  <c r="J205" i="8"/>
  <c r="AC204" i="8"/>
  <c r="U204" i="8"/>
  <c r="M204" i="8"/>
  <c r="AA202" i="8"/>
  <c r="S202" i="8"/>
  <c r="K202" i="8"/>
  <c r="AG200" i="8"/>
  <c r="Y200" i="8"/>
  <c r="Q200" i="8"/>
  <c r="I200" i="8"/>
  <c r="AB199" i="8"/>
  <c r="T199" i="8"/>
  <c r="L199" i="8"/>
  <c r="AE198" i="8"/>
  <c r="W198" i="8"/>
  <c r="O198" i="8"/>
  <c r="G198" i="8"/>
  <c r="Z197" i="8"/>
  <c r="R197" i="8"/>
  <c r="J197" i="8"/>
  <c r="AC196" i="8"/>
  <c r="U196" i="8"/>
  <c r="M196" i="8"/>
  <c r="AA194" i="8"/>
  <c r="S194" i="8"/>
  <c r="K194" i="8"/>
  <c r="AG192" i="8"/>
  <c r="Y192" i="8"/>
  <c r="Q192" i="8"/>
  <c r="I192" i="8"/>
  <c r="AB191" i="8"/>
  <c r="T191" i="8"/>
  <c r="L191" i="8"/>
  <c r="AE190" i="8"/>
  <c r="W190" i="8"/>
  <c r="O190" i="8"/>
  <c r="G190" i="8"/>
  <c r="Z189" i="8"/>
  <c r="R189" i="8"/>
  <c r="J189" i="8"/>
  <c r="AC188" i="8"/>
  <c r="U188" i="8"/>
  <c r="M188" i="8"/>
  <c r="AF187" i="8"/>
  <c r="X187" i="8"/>
  <c r="P187" i="8"/>
  <c r="H187" i="8"/>
  <c r="D205" i="8"/>
  <c r="D197" i="8"/>
  <c r="D189" i="8"/>
  <c r="AG205" i="8"/>
  <c r="Y205" i="8"/>
  <c r="Q205" i="8"/>
  <c r="I205" i="8"/>
  <c r="AB204" i="8"/>
  <c r="T204" i="8"/>
  <c r="L204" i="8"/>
  <c r="Z202" i="8"/>
  <c r="R202" i="8"/>
  <c r="J202" i="8"/>
  <c r="AF200" i="8"/>
  <c r="X200" i="8"/>
  <c r="P200" i="8"/>
  <c r="AA199" i="8"/>
  <c r="S199" i="8"/>
  <c r="K199" i="8"/>
  <c r="AD198" i="8"/>
  <c r="V198" i="8"/>
  <c r="N198" i="8"/>
  <c r="AG197" i="8"/>
  <c r="Y197" i="8"/>
  <c r="Q197" i="8"/>
  <c r="I197" i="8"/>
  <c r="AB196" i="8"/>
  <c r="T196" i="8"/>
  <c r="L196" i="8"/>
  <c r="Z194" i="8"/>
  <c r="R194" i="8"/>
  <c r="J194" i="8"/>
  <c r="AF192" i="8"/>
  <c r="X192" i="8"/>
  <c r="P192" i="8"/>
  <c r="H192" i="8"/>
  <c r="AA191" i="8"/>
  <c r="S191" i="8"/>
  <c r="K191" i="8"/>
  <c r="AD190" i="8"/>
  <c r="V190" i="8"/>
  <c r="N190" i="8"/>
  <c r="AG189" i="8"/>
  <c r="Y189" i="8"/>
  <c r="Q189" i="8"/>
  <c r="I189" i="8"/>
  <c r="AB188" i="8"/>
  <c r="T188" i="8"/>
  <c r="L188" i="8"/>
  <c r="AE187" i="8"/>
  <c r="W187" i="8"/>
  <c r="O187" i="8"/>
  <c r="G187" i="8"/>
  <c r="X205" i="8"/>
  <c r="P205" i="8"/>
  <c r="AA204" i="8"/>
  <c r="S204" i="8"/>
  <c r="AG202" i="8"/>
  <c r="Y202" i="8"/>
  <c r="Q202" i="8"/>
  <c r="Z199" i="8"/>
  <c r="R199" i="8"/>
  <c r="AC198" i="8"/>
  <c r="U198" i="8"/>
  <c r="AF197" i="8"/>
  <c r="X197" i="8"/>
  <c r="P197" i="8"/>
  <c r="AA196" i="8"/>
  <c r="S196" i="8"/>
  <c r="AG194" i="8"/>
  <c r="Y194" i="8"/>
  <c r="Q194" i="8"/>
  <c r="AE192" i="8"/>
  <c r="W192" i="8"/>
  <c r="O192" i="8"/>
  <c r="Z191" i="8"/>
  <c r="R191" i="8"/>
  <c r="AC190" i="8"/>
  <c r="U190" i="8"/>
  <c r="AF189" i="8"/>
  <c r="X189" i="8"/>
  <c r="P189" i="8"/>
  <c r="AA188" i="8"/>
  <c r="S188" i="8"/>
  <c r="AD187" i="8"/>
  <c r="V187" i="8"/>
  <c r="M36" i="9" l="1"/>
  <c r="M249" i="9" s="1"/>
  <c r="L36" i="9"/>
  <c r="L249" i="9" s="1"/>
  <c r="L94" i="9" l="1"/>
  <c r="M94" i="9"/>
  <c r="G37" i="13"/>
  <c r="B335" i="8" l="1"/>
  <c r="AF328" i="8"/>
  <c r="AG328" i="8"/>
  <c r="E328" i="8"/>
  <c r="F328" i="8"/>
  <c r="G328" i="8"/>
  <c r="H328" i="8"/>
  <c r="I328" i="8"/>
  <c r="J328" i="8"/>
  <c r="K328" i="8"/>
  <c r="L328" i="8"/>
  <c r="M328" i="8"/>
  <c r="N328" i="8"/>
  <c r="O328" i="8"/>
  <c r="P328" i="8"/>
  <c r="Q328" i="8"/>
  <c r="R328" i="8"/>
  <c r="S328" i="8"/>
  <c r="T328" i="8"/>
  <c r="U328" i="8"/>
  <c r="V328" i="8"/>
  <c r="W328" i="8"/>
  <c r="X328" i="8"/>
  <c r="Y328" i="8"/>
  <c r="Z328" i="8"/>
  <c r="AA328" i="8"/>
  <c r="AB328" i="8"/>
  <c r="AC328" i="8"/>
  <c r="AD328" i="8"/>
  <c r="AE328" i="8"/>
  <c r="A57" i="8"/>
  <c r="A58" i="8"/>
  <c r="A59" i="8"/>
  <c r="A60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56" i="8"/>
  <c r="B95" i="8"/>
  <c r="K57" i="8"/>
  <c r="J58" i="8"/>
  <c r="K58" i="8" s="1"/>
  <c r="J59" i="8"/>
  <c r="K59" i="8" s="1"/>
  <c r="J60" i="8"/>
  <c r="K60" i="8" s="1"/>
  <c r="J61" i="8"/>
  <c r="K61" i="8" s="1"/>
  <c r="J62" i="8"/>
  <c r="K62" i="8" s="1"/>
  <c r="J63" i="8"/>
  <c r="K63" i="8" s="1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56" i="8"/>
  <c r="J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N78" i="8"/>
  <c r="N76" i="8"/>
  <c r="AS76" i="8" s="1"/>
  <c r="B78" i="8"/>
  <c r="E78" i="8" s="1"/>
  <c r="B76" i="8"/>
  <c r="E76" i="8" s="1"/>
  <c r="D78" i="8"/>
  <c r="D76" i="8"/>
  <c r="E29" i="2"/>
  <c r="F29" i="2" s="1"/>
  <c r="D328" i="8"/>
  <c r="B338" i="8"/>
  <c r="B337" i="8"/>
  <c r="B336" i="8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AI10" i="9"/>
  <c r="AJ10" i="9"/>
  <c r="AK10" i="9"/>
  <c r="AL10" i="9"/>
  <c r="AM10" i="9"/>
  <c r="AN10" i="9"/>
  <c r="AO10" i="9"/>
  <c r="H21" i="9"/>
  <c r="C206" i="8"/>
  <c r="C205" i="8"/>
  <c r="C204" i="8"/>
  <c r="C203" i="8"/>
  <c r="C202" i="8"/>
  <c r="C201" i="8"/>
  <c r="C200" i="8"/>
  <c r="C199" i="8"/>
  <c r="C198" i="8"/>
  <c r="C197" i="8"/>
  <c r="C196" i="8"/>
  <c r="C195" i="8"/>
  <c r="C194" i="8"/>
  <c r="C193" i="8"/>
  <c r="C192" i="8"/>
  <c r="C191" i="8"/>
  <c r="C190" i="8"/>
  <c r="C189" i="8"/>
  <c r="C188" i="8"/>
  <c r="C187" i="8"/>
  <c r="F408" i="8"/>
  <c r="D394" i="8"/>
  <c r="E394" i="8"/>
  <c r="F394" i="8"/>
  <c r="C394" i="8"/>
  <c r="D400" i="8"/>
  <c r="E400" i="8"/>
  <c r="F400" i="8"/>
  <c r="D401" i="8"/>
  <c r="E401" i="8"/>
  <c r="F401" i="8"/>
  <c r="D402" i="8"/>
  <c r="E402" i="8"/>
  <c r="F402" i="8"/>
  <c r="C400" i="8"/>
  <c r="D52" i="9" l="1"/>
  <c r="F114" i="9"/>
  <c r="E114" i="9" s="1"/>
  <c r="D114" i="9" s="1"/>
  <c r="D44" i="9"/>
  <c r="F106" i="9"/>
  <c r="E106" i="9" s="1"/>
  <c r="D106" i="9" s="1"/>
  <c r="D45" i="9"/>
  <c r="F107" i="9"/>
  <c r="E107" i="9" s="1"/>
  <c r="D107" i="9" s="1"/>
  <c r="D51" i="9"/>
  <c r="F113" i="9"/>
  <c r="E113" i="9" s="1"/>
  <c r="D113" i="9" s="1"/>
  <c r="D43" i="9"/>
  <c r="F105" i="9"/>
  <c r="E105" i="9" s="1"/>
  <c r="D105" i="9" s="1"/>
  <c r="D50" i="9"/>
  <c r="F112" i="9"/>
  <c r="E112" i="9" s="1"/>
  <c r="D112" i="9" s="1"/>
  <c r="D42" i="9"/>
  <c r="F104" i="9"/>
  <c r="E104" i="9" s="1"/>
  <c r="D104" i="9" s="1"/>
  <c r="D37" i="9"/>
  <c r="B37" i="9" s="1"/>
  <c r="F99" i="9"/>
  <c r="E99" i="9" s="1"/>
  <c r="D99" i="9" s="1"/>
  <c r="D49" i="9"/>
  <c r="F111" i="9"/>
  <c r="E111" i="9" s="1"/>
  <c r="D111" i="9" s="1"/>
  <c r="D41" i="9"/>
  <c r="F103" i="9"/>
  <c r="E103" i="9" s="1"/>
  <c r="D103" i="9" s="1"/>
  <c r="D56" i="9"/>
  <c r="F118" i="9"/>
  <c r="E118" i="9" s="1"/>
  <c r="D118" i="9" s="1"/>
  <c r="D48" i="9"/>
  <c r="F110" i="9"/>
  <c r="E110" i="9" s="1"/>
  <c r="D110" i="9" s="1"/>
  <c r="D40" i="9"/>
  <c r="F102" i="9"/>
  <c r="E102" i="9" s="1"/>
  <c r="D102" i="9" s="1"/>
  <c r="D53" i="9"/>
  <c r="F115" i="9"/>
  <c r="E115" i="9" s="1"/>
  <c r="D115" i="9" s="1"/>
  <c r="D55" i="9"/>
  <c r="F117" i="9"/>
  <c r="E117" i="9" s="1"/>
  <c r="D117" i="9" s="1"/>
  <c r="D47" i="9"/>
  <c r="F109" i="9"/>
  <c r="E109" i="9" s="1"/>
  <c r="D109" i="9" s="1"/>
  <c r="D39" i="9"/>
  <c r="F101" i="9"/>
  <c r="E101" i="9" s="1"/>
  <c r="D101" i="9" s="1"/>
  <c r="D54" i="9"/>
  <c r="F116" i="9"/>
  <c r="E116" i="9" s="1"/>
  <c r="D116" i="9" s="1"/>
  <c r="D46" i="9"/>
  <c r="F108" i="9"/>
  <c r="E108" i="9" s="1"/>
  <c r="D108" i="9" s="1"/>
  <c r="D38" i="9"/>
  <c r="F100" i="9"/>
  <c r="E100" i="9" s="1"/>
  <c r="D100" i="9" s="1"/>
  <c r="AF16" i="9"/>
  <c r="T16" i="9"/>
  <c r="AK16" i="9"/>
  <c r="Y16" i="9"/>
  <c r="S16" i="9"/>
  <c r="M16" i="9"/>
  <c r="AJ16" i="9"/>
  <c r="AD16" i="9"/>
  <c r="X16" i="9"/>
  <c r="R16" i="9"/>
  <c r="AL16" i="9"/>
  <c r="AO16" i="9"/>
  <c r="AI16" i="9"/>
  <c r="AC16" i="9"/>
  <c r="W16" i="9"/>
  <c r="Q16" i="9"/>
  <c r="Z16" i="9"/>
  <c r="N16" i="9"/>
  <c r="AE16" i="9"/>
  <c r="AN16" i="9"/>
  <c r="AH16" i="9"/>
  <c r="AB16" i="9"/>
  <c r="V16" i="9"/>
  <c r="P16" i="9"/>
  <c r="AM16" i="9"/>
  <c r="AG16" i="9"/>
  <c r="AA16" i="9"/>
  <c r="U16" i="9"/>
  <c r="O16" i="9"/>
  <c r="B349" i="8"/>
  <c r="B343" i="8"/>
  <c r="B355" i="8" s="1"/>
  <c r="B350" i="8"/>
  <c r="B344" i="8"/>
  <c r="B356" i="8" s="1"/>
  <c r="B348" i="8"/>
  <c r="B342" i="8"/>
  <c r="B354" i="8" s="1"/>
  <c r="B347" i="8"/>
  <c r="B341" i="8"/>
  <c r="B353" i="8" s="1"/>
  <c r="E95" i="8"/>
  <c r="D91" i="8"/>
  <c r="E86" i="8"/>
  <c r="E92" i="8"/>
  <c r="D92" i="8"/>
  <c r="C92" i="8"/>
  <c r="E89" i="8"/>
  <c r="C91" i="8"/>
  <c r="E88" i="8"/>
  <c r="D90" i="8"/>
  <c r="C90" i="8"/>
  <c r="E87" i="8"/>
  <c r="D89" i="8"/>
  <c r="C89" i="8"/>
  <c r="D88" i="8"/>
  <c r="C88" i="8"/>
  <c r="D87" i="8"/>
  <c r="C87" i="8"/>
  <c r="E85" i="8"/>
  <c r="D86" i="8"/>
  <c r="C85" i="8"/>
  <c r="C86" i="8"/>
  <c r="D85" i="8"/>
  <c r="E91" i="8"/>
  <c r="E90" i="8"/>
  <c r="U207" i="8"/>
  <c r="U209" i="8" s="1"/>
  <c r="AC78" i="9" s="1"/>
  <c r="C408" i="8"/>
  <c r="D405" i="8"/>
  <c r="D408" i="8" s="1"/>
  <c r="E405" i="8"/>
  <c r="E408" i="8" s="1"/>
  <c r="I207" i="8"/>
  <c r="I209" i="8" s="1"/>
  <c r="Q78" i="9" s="1"/>
  <c r="V207" i="8"/>
  <c r="V209" i="8" s="1"/>
  <c r="AD78" i="9" s="1"/>
  <c r="AA207" i="8"/>
  <c r="AA209" i="8" s="1"/>
  <c r="AI78" i="9" s="1"/>
  <c r="O207" i="8"/>
  <c r="O209" i="8" s="1"/>
  <c r="W78" i="9" s="1"/>
  <c r="F405" i="8"/>
  <c r="AG207" i="8"/>
  <c r="AG209" i="8" s="1"/>
  <c r="AO78" i="9" s="1"/>
  <c r="J207" i="8"/>
  <c r="J209" i="8" s="1"/>
  <c r="R78" i="9" s="1"/>
  <c r="N207" i="8"/>
  <c r="N209" i="8" s="1"/>
  <c r="V78" i="9" s="1"/>
  <c r="S207" i="8"/>
  <c r="S209" i="8" s="1"/>
  <c r="AA78" i="9" s="1"/>
  <c r="X207" i="8"/>
  <c r="X209" i="8" s="1"/>
  <c r="AF78" i="9" s="1"/>
  <c r="AC207" i="8"/>
  <c r="AC209" i="8" s="1"/>
  <c r="AK78" i="9" s="1"/>
  <c r="E207" i="8"/>
  <c r="E209" i="8" s="1"/>
  <c r="M78" i="9" s="1"/>
  <c r="T207" i="8"/>
  <c r="T209" i="8" s="1"/>
  <c r="AB78" i="9" s="1"/>
  <c r="Y207" i="8"/>
  <c r="Y209" i="8" s="1"/>
  <c r="AG78" i="9" s="1"/>
  <c r="AD207" i="8"/>
  <c r="AD209" i="8" s="1"/>
  <c r="AL78" i="9" s="1"/>
  <c r="F207" i="8"/>
  <c r="K207" i="8"/>
  <c r="K209" i="8" s="1"/>
  <c r="S78" i="9" s="1"/>
  <c r="P207" i="8"/>
  <c r="P209" i="8" s="1"/>
  <c r="X78" i="9" s="1"/>
  <c r="Z207" i="8"/>
  <c r="Z209" i="8" s="1"/>
  <c r="AH78" i="9" s="1"/>
  <c r="AE207" i="8"/>
  <c r="AE209" i="8" s="1"/>
  <c r="AM78" i="9" s="1"/>
  <c r="G207" i="8"/>
  <c r="G209" i="8" s="1"/>
  <c r="O78" i="9" s="1"/>
  <c r="L207" i="8"/>
  <c r="L209" i="8" s="1"/>
  <c r="T78" i="9" s="1"/>
  <c r="Q207" i="8"/>
  <c r="Q209" i="8" s="1"/>
  <c r="Y78" i="9" s="1"/>
  <c r="AF207" i="8"/>
  <c r="AF209" i="8" s="1"/>
  <c r="AN78" i="9" s="1"/>
  <c r="H207" i="8"/>
  <c r="H209" i="8" s="1"/>
  <c r="P78" i="9" s="1"/>
  <c r="M207" i="8"/>
  <c r="M209" i="8" s="1"/>
  <c r="U78" i="9" s="1"/>
  <c r="R207" i="8"/>
  <c r="R209" i="8" s="1"/>
  <c r="Z78" i="9" s="1"/>
  <c r="W207" i="8"/>
  <c r="W209" i="8" s="1"/>
  <c r="AE78" i="9" s="1"/>
  <c r="AB207" i="8"/>
  <c r="AB209" i="8" s="1"/>
  <c r="AJ78" i="9" s="1"/>
  <c r="L78" i="9"/>
  <c r="D1" i="11"/>
  <c r="L10" i="9"/>
  <c r="L16" i="9" l="1"/>
  <c r="F209" i="8"/>
  <c r="N78" i="9" s="1"/>
  <c r="F85" i="8"/>
  <c r="D93" i="8"/>
  <c r="F90" i="8"/>
  <c r="F87" i="8"/>
  <c r="F88" i="8"/>
  <c r="F91" i="8"/>
  <c r="E93" i="8"/>
  <c r="F98" i="8" s="1"/>
  <c r="G15" i="13" s="1"/>
  <c r="F86" i="8"/>
  <c r="F89" i="8"/>
  <c r="F92" i="8"/>
  <c r="C93" i="8"/>
  <c r="D362" i="8"/>
  <c r="G92" i="11" s="1"/>
  <c r="G93" i="11"/>
  <c r="C362" i="8"/>
  <c r="F92" i="11" s="1"/>
  <c r="F93" i="11"/>
  <c r="C361" i="8"/>
  <c r="F91" i="11" s="1"/>
  <c r="B321" i="8"/>
  <c r="B334" i="8" s="1"/>
  <c r="D364" i="8"/>
  <c r="F309" i="8"/>
  <c r="G309" i="8"/>
  <c r="H309" i="8"/>
  <c r="I309" i="8"/>
  <c r="J309" i="8"/>
  <c r="K309" i="8"/>
  <c r="L309" i="8"/>
  <c r="M309" i="8"/>
  <c r="N309" i="8"/>
  <c r="O309" i="8"/>
  <c r="P309" i="8"/>
  <c r="Q309" i="8"/>
  <c r="R309" i="8"/>
  <c r="S309" i="8"/>
  <c r="T309" i="8"/>
  <c r="U309" i="8"/>
  <c r="V309" i="8"/>
  <c r="W309" i="8"/>
  <c r="X309" i="8"/>
  <c r="Y309" i="8"/>
  <c r="Z309" i="8"/>
  <c r="AA309" i="8"/>
  <c r="AB309" i="8"/>
  <c r="AC309" i="8"/>
  <c r="AD309" i="8"/>
  <c r="AE309" i="8"/>
  <c r="AF309" i="8"/>
  <c r="AG309" i="8"/>
  <c r="AH309" i="8"/>
  <c r="E309" i="8"/>
  <c r="H17" i="8"/>
  <c r="G14" i="4"/>
  <c r="H16" i="8"/>
  <c r="I215" i="8"/>
  <c r="J215" i="8"/>
  <c r="D215" i="8"/>
  <c r="E364" i="8" l="1"/>
  <c r="D94" i="11" s="1"/>
  <c r="G94" i="11"/>
  <c r="G95" i="11" s="1"/>
  <c r="F95" i="11"/>
  <c r="L267" i="8"/>
  <c r="L268" i="8" s="1"/>
  <c r="R267" i="8"/>
  <c r="R268" i="8" s="1"/>
  <c r="X267" i="8"/>
  <c r="X268" i="8" s="1"/>
  <c r="AD267" i="8"/>
  <c r="AD268" i="8" s="1"/>
  <c r="G267" i="8"/>
  <c r="G268" i="8" s="1"/>
  <c r="M267" i="8"/>
  <c r="M268" i="8" s="1"/>
  <c r="S267" i="8"/>
  <c r="S268" i="8" s="1"/>
  <c r="Y267" i="8"/>
  <c r="Y268" i="8" s="1"/>
  <c r="AE267" i="8"/>
  <c r="AE268" i="8" s="1"/>
  <c r="H267" i="8"/>
  <c r="H268" i="8" s="1"/>
  <c r="N267" i="8"/>
  <c r="N268" i="8" s="1"/>
  <c r="T267" i="8"/>
  <c r="T268" i="8" s="1"/>
  <c r="Z267" i="8"/>
  <c r="Z268" i="8" s="1"/>
  <c r="AF267" i="8"/>
  <c r="AF268" i="8" s="1"/>
  <c r="I267" i="8"/>
  <c r="I268" i="8" s="1"/>
  <c r="O267" i="8"/>
  <c r="O268" i="8" s="1"/>
  <c r="U267" i="8"/>
  <c r="U268" i="8" s="1"/>
  <c r="AA267" i="8"/>
  <c r="AA268" i="8" s="1"/>
  <c r="AG267" i="8"/>
  <c r="AG268" i="8" s="1"/>
  <c r="J267" i="8"/>
  <c r="J268" i="8" s="1"/>
  <c r="P267" i="8"/>
  <c r="P268" i="8" s="1"/>
  <c r="V267" i="8"/>
  <c r="V268" i="8" s="1"/>
  <c r="AB267" i="8"/>
  <c r="AB268" i="8" s="1"/>
  <c r="F267" i="8"/>
  <c r="F268" i="8" s="1"/>
  <c r="K267" i="8"/>
  <c r="K268" i="8" s="1"/>
  <c r="Q267" i="8"/>
  <c r="Q268" i="8" s="1"/>
  <c r="W267" i="8"/>
  <c r="W268" i="8" s="1"/>
  <c r="AC267" i="8"/>
  <c r="AC268" i="8" s="1"/>
  <c r="K289" i="8"/>
  <c r="K290" i="8" s="1"/>
  <c r="S289" i="8"/>
  <c r="S290" i="8" s="1"/>
  <c r="AA289" i="8"/>
  <c r="AA290" i="8" s="1"/>
  <c r="AI289" i="8"/>
  <c r="AI290" i="8" s="1"/>
  <c r="L289" i="8"/>
  <c r="L290" i="8" s="1"/>
  <c r="T289" i="8"/>
  <c r="T290" i="8" s="1"/>
  <c r="AB289" i="8"/>
  <c r="AB290" i="8" s="1"/>
  <c r="AJ289" i="8"/>
  <c r="AJ290" i="8" s="1"/>
  <c r="J289" i="8"/>
  <c r="J290" i="8" s="1"/>
  <c r="M289" i="8"/>
  <c r="M290" i="8" s="1"/>
  <c r="U289" i="8"/>
  <c r="U290" i="8" s="1"/>
  <c r="AC289" i="8"/>
  <c r="AC290" i="8" s="1"/>
  <c r="G289" i="8"/>
  <c r="G290" i="8" s="1"/>
  <c r="N289" i="8"/>
  <c r="N290" i="8" s="1"/>
  <c r="V289" i="8"/>
  <c r="V290" i="8" s="1"/>
  <c r="AD289" i="8"/>
  <c r="AD290" i="8" s="1"/>
  <c r="Z289" i="8"/>
  <c r="Z290" i="8" s="1"/>
  <c r="O289" i="8"/>
  <c r="O290" i="8" s="1"/>
  <c r="W289" i="8"/>
  <c r="W290" i="8" s="1"/>
  <c r="AE289" i="8"/>
  <c r="AE290" i="8" s="1"/>
  <c r="H289" i="8"/>
  <c r="H290" i="8" s="1"/>
  <c r="P289" i="8"/>
  <c r="P290" i="8" s="1"/>
  <c r="X289" i="8"/>
  <c r="X290" i="8" s="1"/>
  <c r="AF289" i="8"/>
  <c r="AF290" i="8" s="1"/>
  <c r="R289" i="8"/>
  <c r="R290" i="8" s="1"/>
  <c r="D267" i="8"/>
  <c r="D268" i="8" s="1"/>
  <c r="I289" i="8"/>
  <c r="I290" i="8" s="1"/>
  <c r="Q289" i="8"/>
  <c r="Q290" i="8" s="1"/>
  <c r="Y289" i="8"/>
  <c r="Y290" i="8" s="1"/>
  <c r="AG289" i="8"/>
  <c r="AG290" i="8" s="1"/>
  <c r="AH289" i="8"/>
  <c r="AH290" i="8" s="1"/>
  <c r="E267" i="8"/>
  <c r="E268" i="8" s="1"/>
  <c r="P80" i="8"/>
  <c r="P81" i="8" s="1"/>
  <c r="X80" i="8"/>
  <c r="X81" i="8" s="1"/>
  <c r="AF80" i="8"/>
  <c r="AF81" i="8" s="1"/>
  <c r="AN80" i="8"/>
  <c r="AN81" i="8" s="1"/>
  <c r="Q80" i="8"/>
  <c r="Q81" i="8" s="1"/>
  <c r="Y80" i="8"/>
  <c r="Y81" i="8" s="1"/>
  <c r="AG80" i="8"/>
  <c r="AG81" i="8" s="1"/>
  <c r="AO80" i="8"/>
  <c r="AO81" i="8" s="1"/>
  <c r="R80" i="8"/>
  <c r="R81" i="8" s="1"/>
  <c r="Z80" i="8"/>
  <c r="Z81" i="8" s="1"/>
  <c r="AH80" i="8"/>
  <c r="AH81" i="8" s="1"/>
  <c r="AP80" i="8"/>
  <c r="AP81" i="8" s="1"/>
  <c r="S80" i="8"/>
  <c r="S81" i="8" s="1"/>
  <c r="AA80" i="8"/>
  <c r="AA81" i="8" s="1"/>
  <c r="AI80" i="8"/>
  <c r="AI81" i="8" s="1"/>
  <c r="AQ80" i="8"/>
  <c r="AQ81" i="8" s="1"/>
  <c r="T80" i="8"/>
  <c r="T81" i="8" s="1"/>
  <c r="AB80" i="8"/>
  <c r="AB81" i="8" s="1"/>
  <c r="AJ80" i="8"/>
  <c r="AJ81" i="8" s="1"/>
  <c r="AR80" i="8"/>
  <c r="AR81" i="8" s="1"/>
  <c r="AD80" i="8"/>
  <c r="AD81" i="8" s="1"/>
  <c r="U80" i="8"/>
  <c r="U81" i="8" s="1"/>
  <c r="AC80" i="8"/>
  <c r="AC81" i="8" s="1"/>
  <c r="AK80" i="8"/>
  <c r="AK81" i="8" s="1"/>
  <c r="O80" i="8"/>
  <c r="O81" i="8" s="1"/>
  <c r="V80" i="8"/>
  <c r="V81" i="8" s="1"/>
  <c r="AL80" i="8"/>
  <c r="AL81" i="8" s="1"/>
  <c r="W80" i="8"/>
  <c r="W81" i="8" s="1"/>
  <c r="AE80" i="8"/>
  <c r="AE81" i="8" s="1"/>
  <c r="AM80" i="8"/>
  <c r="AM81" i="8" s="1"/>
  <c r="E215" i="8"/>
  <c r="F215" i="8"/>
  <c r="G215" i="8"/>
  <c r="H215" i="8"/>
  <c r="G95" i="8"/>
  <c r="G88" i="8"/>
  <c r="G89" i="8"/>
  <c r="G90" i="8"/>
  <c r="G91" i="8"/>
  <c r="G92" i="8"/>
  <c r="G87" i="8"/>
  <c r="G93" i="8"/>
  <c r="G86" i="8"/>
  <c r="F93" i="8"/>
  <c r="F97" i="8" s="1"/>
  <c r="G14" i="13" s="1"/>
  <c r="E361" i="8"/>
  <c r="D91" i="11" s="1"/>
  <c r="E363" i="8"/>
  <c r="D93" i="11" s="1"/>
  <c r="D365" i="8"/>
  <c r="E362" i="8"/>
  <c r="D92" i="11" s="1"/>
  <c r="C365" i="8"/>
  <c r="L222" i="8"/>
  <c r="L217" i="8"/>
  <c r="L224" i="8"/>
  <c r="L235" i="8"/>
  <c r="L223" i="8"/>
  <c r="L234" i="8"/>
  <c r="L228" i="8"/>
  <c r="L233" i="8"/>
  <c r="L227" i="8"/>
  <c r="L221" i="8"/>
  <c r="L220" i="8"/>
  <c r="L226" i="8"/>
  <c r="L225" i="8"/>
  <c r="L219" i="8"/>
  <c r="L230" i="8"/>
  <c r="L232" i="8"/>
  <c r="L231" i="8"/>
  <c r="L218" i="8"/>
  <c r="L229" i="8"/>
  <c r="D95" i="11" l="1"/>
  <c r="E91" i="11" s="1"/>
  <c r="F371" i="8"/>
  <c r="G19" i="13" s="1"/>
  <c r="E49" i="11"/>
  <c r="B53" i="11" s="1"/>
  <c r="B54" i="11" s="1"/>
  <c r="W81" i="9"/>
  <c r="AE81" i="9"/>
  <c r="AJ81" i="9"/>
  <c r="N81" i="9"/>
  <c r="AA81" i="9"/>
  <c r="P81" i="9"/>
  <c r="AC81" i="9"/>
  <c r="AI81" i="9"/>
  <c r="R81" i="9"/>
  <c r="AL81" i="9"/>
  <c r="U81" i="9"/>
  <c r="AO81" i="9"/>
  <c r="AD81" i="9"/>
  <c r="Y81" i="9"/>
  <c r="AM81" i="9"/>
  <c r="O81" i="9"/>
  <c r="V81" i="9"/>
  <c r="AN81" i="9"/>
  <c r="AH81" i="9"/>
  <c r="Q81" i="9"/>
  <c r="Z81" i="9"/>
  <c r="X81" i="9"/>
  <c r="T81" i="9"/>
  <c r="AK81" i="9"/>
  <c r="S81" i="9"/>
  <c r="AG81" i="9"/>
  <c r="AB81" i="9"/>
  <c r="AF81" i="9"/>
  <c r="M230" i="8"/>
  <c r="M228" i="8"/>
  <c r="M225" i="8"/>
  <c r="M223" i="8"/>
  <c r="M220" i="8"/>
  <c r="M235" i="8"/>
  <c r="M227" i="8"/>
  <c r="M232" i="8"/>
  <c r="M233" i="8"/>
  <c r="J248" i="8"/>
  <c r="R248" i="8"/>
  <c r="Z248" i="8"/>
  <c r="K248" i="8"/>
  <c r="S248" i="8"/>
  <c r="AA248" i="8"/>
  <c r="L248" i="8"/>
  <c r="T248" i="8"/>
  <c r="AB248" i="8"/>
  <c r="D248" i="8"/>
  <c r="E248" i="8"/>
  <c r="M248" i="8"/>
  <c r="U248" i="8"/>
  <c r="AC248" i="8"/>
  <c r="F248" i="8"/>
  <c r="N248" i="8"/>
  <c r="V248" i="8"/>
  <c r="AD248" i="8"/>
  <c r="G248" i="8"/>
  <c r="O248" i="8"/>
  <c r="W248" i="8"/>
  <c r="AE248" i="8"/>
  <c r="H248" i="8"/>
  <c r="P248" i="8"/>
  <c r="X248" i="8"/>
  <c r="AF248" i="8"/>
  <c r="AG248" i="8"/>
  <c r="I248" i="8"/>
  <c r="Q248" i="8"/>
  <c r="Y248" i="8"/>
  <c r="I245" i="8"/>
  <c r="Q245" i="8"/>
  <c r="Y245" i="8"/>
  <c r="AG245" i="8"/>
  <c r="J245" i="8"/>
  <c r="R245" i="8"/>
  <c r="Z245" i="8"/>
  <c r="K245" i="8"/>
  <c r="S245" i="8"/>
  <c r="AA245" i="8"/>
  <c r="L245" i="8"/>
  <c r="T245" i="8"/>
  <c r="AB245" i="8"/>
  <c r="E245" i="8"/>
  <c r="M245" i="8"/>
  <c r="U245" i="8"/>
  <c r="AC245" i="8"/>
  <c r="F245" i="8"/>
  <c r="N245" i="8"/>
  <c r="V245" i="8"/>
  <c r="AD245" i="8"/>
  <c r="G245" i="8"/>
  <c r="O245" i="8"/>
  <c r="W245" i="8"/>
  <c r="AE245" i="8"/>
  <c r="D245" i="8"/>
  <c r="H245" i="8"/>
  <c r="P245" i="8"/>
  <c r="X245" i="8"/>
  <c r="AF245" i="8"/>
  <c r="F254" i="8"/>
  <c r="N254" i="8"/>
  <c r="V254" i="8"/>
  <c r="AD254" i="8"/>
  <c r="G254" i="8"/>
  <c r="O254" i="8"/>
  <c r="W254" i="8"/>
  <c r="AE254" i="8"/>
  <c r="H254" i="8"/>
  <c r="P254" i="8"/>
  <c r="X254" i="8"/>
  <c r="AF254" i="8"/>
  <c r="I254" i="8"/>
  <c r="Q254" i="8"/>
  <c r="Y254" i="8"/>
  <c r="AG254" i="8"/>
  <c r="J254" i="8"/>
  <c r="R254" i="8"/>
  <c r="Z254" i="8"/>
  <c r="L254" i="8"/>
  <c r="M254" i="8"/>
  <c r="S254" i="8"/>
  <c r="T254" i="8"/>
  <c r="U254" i="8"/>
  <c r="AA254" i="8"/>
  <c r="D254" i="8"/>
  <c r="E254" i="8"/>
  <c r="AB254" i="8"/>
  <c r="K254" i="8"/>
  <c r="AC254" i="8"/>
  <c r="H260" i="8"/>
  <c r="P260" i="8"/>
  <c r="X260" i="8"/>
  <c r="AF260" i="8"/>
  <c r="L260" i="8"/>
  <c r="T260" i="8"/>
  <c r="AB260" i="8"/>
  <c r="J260" i="8"/>
  <c r="U260" i="8"/>
  <c r="AE260" i="8"/>
  <c r="K260" i="8"/>
  <c r="V260" i="8"/>
  <c r="AG260" i="8"/>
  <c r="R260" i="8"/>
  <c r="M260" i="8"/>
  <c r="W260" i="8"/>
  <c r="N260" i="8"/>
  <c r="Y260" i="8"/>
  <c r="D260" i="8"/>
  <c r="E260" i="8"/>
  <c r="O260" i="8"/>
  <c r="Z260" i="8"/>
  <c r="F260" i="8"/>
  <c r="Q260" i="8"/>
  <c r="AA260" i="8"/>
  <c r="G260" i="8"/>
  <c r="AC260" i="8"/>
  <c r="I260" i="8"/>
  <c r="S260" i="8"/>
  <c r="AD260" i="8"/>
  <c r="M222" i="8"/>
  <c r="L256" i="8"/>
  <c r="T256" i="8"/>
  <c r="AB256" i="8"/>
  <c r="E256" i="8"/>
  <c r="M256" i="8"/>
  <c r="U256" i="8"/>
  <c r="AC256" i="8"/>
  <c r="F256" i="8"/>
  <c r="N256" i="8"/>
  <c r="V256" i="8"/>
  <c r="AD256" i="8"/>
  <c r="G256" i="8"/>
  <c r="O256" i="8"/>
  <c r="W256" i="8"/>
  <c r="AE256" i="8"/>
  <c r="H256" i="8"/>
  <c r="P256" i="8"/>
  <c r="X256" i="8"/>
  <c r="AF256" i="8"/>
  <c r="R256" i="8"/>
  <c r="S256" i="8"/>
  <c r="K256" i="8"/>
  <c r="Y256" i="8"/>
  <c r="Z256" i="8"/>
  <c r="I256" i="8"/>
  <c r="AA256" i="8"/>
  <c r="J256" i="8"/>
  <c r="AG256" i="8"/>
  <c r="Q256" i="8"/>
  <c r="D256" i="8"/>
  <c r="F252" i="8"/>
  <c r="N252" i="8"/>
  <c r="G252" i="8"/>
  <c r="O252" i="8"/>
  <c r="H252" i="8"/>
  <c r="P252" i="8"/>
  <c r="X252" i="8"/>
  <c r="AF252" i="8"/>
  <c r="I252" i="8"/>
  <c r="Q252" i="8"/>
  <c r="Y252" i="8"/>
  <c r="AG252" i="8"/>
  <c r="J252" i="8"/>
  <c r="R252" i="8"/>
  <c r="Z252" i="8"/>
  <c r="K252" i="8"/>
  <c r="S252" i="8"/>
  <c r="AA252" i="8"/>
  <c r="L252" i="8"/>
  <c r="T252" i="8"/>
  <c r="AB252" i="8"/>
  <c r="D252" i="8"/>
  <c r="AC252" i="8"/>
  <c r="AD252" i="8"/>
  <c r="AE252" i="8"/>
  <c r="E252" i="8"/>
  <c r="M252" i="8"/>
  <c r="U252" i="8"/>
  <c r="V252" i="8"/>
  <c r="W252" i="8"/>
  <c r="E249" i="8"/>
  <c r="M249" i="8"/>
  <c r="U249" i="8"/>
  <c r="AC249" i="8"/>
  <c r="F249" i="8"/>
  <c r="N249" i="8"/>
  <c r="V249" i="8"/>
  <c r="AD249" i="8"/>
  <c r="G249" i="8"/>
  <c r="O249" i="8"/>
  <c r="W249" i="8"/>
  <c r="AE249" i="8"/>
  <c r="H249" i="8"/>
  <c r="P249" i="8"/>
  <c r="X249" i="8"/>
  <c r="AF249" i="8"/>
  <c r="I249" i="8"/>
  <c r="Q249" i="8"/>
  <c r="Y249" i="8"/>
  <c r="AG249" i="8"/>
  <c r="J249" i="8"/>
  <c r="R249" i="8"/>
  <c r="Z249" i="8"/>
  <c r="K249" i="8"/>
  <c r="S249" i="8"/>
  <c r="AA249" i="8"/>
  <c r="L249" i="8"/>
  <c r="D249" i="8"/>
  <c r="T249" i="8"/>
  <c r="AB249" i="8"/>
  <c r="I255" i="8"/>
  <c r="Q255" i="8"/>
  <c r="Y255" i="8"/>
  <c r="AG255" i="8"/>
  <c r="J255" i="8"/>
  <c r="R255" i="8"/>
  <c r="Z255" i="8"/>
  <c r="K255" i="8"/>
  <c r="S255" i="8"/>
  <c r="AA255" i="8"/>
  <c r="L255" i="8"/>
  <c r="T255" i="8"/>
  <c r="AB255" i="8"/>
  <c r="E255" i="8"/>
  <c r="M255" i="8"/>
  <c r="U255" i="8"/>
  <c r="AC255" i="8"/>
  <c r="F255" i="8"/>
  <c r="X255" i="8"/>
  <c r="G255" i="8"/>
  <c r="AD255" i="8"/>
  <c r="H255" i="8"/>
  <c r="AE255" i="8"/>
  <c r="N255" i="8"/>
  <c r="AF255" i="8"/>
  <c r="O255" i="8"/>
  <c r="P255" i="8"/>
  <c r="V255" i="8"/>
  <c r="D255" i="8"/>
  <c r="W255" i="8"/>
  <c r="K261" i="8"/>
  <c r="S261" i="8"/>
  <c r="AA261" i="8"/>
  <c r="G261" i="8"/>
  <c r="O261" i="8"/>
  <c r="W261" i="8"/>
  <c r="AE261" i="8"/>
  <c r="M261" i="8"/>
  <c r="X261" i="8"/>
  <c r="N261" i="8"/>
  <c r="Y261" i="8"/>
  <c r="J261" i="8"/>
  <c r="AF261" i="8"/>
  <c r="E261" i="8"/>
  <c r="P261" i="8"/>
  <c r="Z261" i="8"/>
  <c r="F261" i="8"/>
  <c r="Q261" i="8"/>
  <c r="AB261" i="8"/>
  <c r="H261" i="8"/>
  <c r="R261" i="8"/>
  <c r="AC261" i="8"/>
  <c r="D261" i="8"/>
  <c r="I261" i="8"/>
  <c r="T261" i="8"/>
  <c r="AD261" i="8"/>
  <c r="U261" i="8"/>
  <c r="L261" i="8"/>
  <c r="V261" i="8"/>
  <c r="AG261" i="8"/>
  <c r="M219" i="8"/>
  <c r="G257" i="8"/>
  <c r="O257" i="8"/>
  <c r="W257" i="8"/>
  <c r="AE257" i="8"/>
  <c r="I257" i="8"/>
  <c r="Q257" i="8"/>
  <c r="J257" i="8"/>
  <c r="K257" i="8"/>
  <c r="S257" i="8"/>
  <c r="AA257" i="8"/>
  <c r="H257" i="8"/>
  <c r="V257" i="8"/>
  <c r="AG257" i="8"/>
  <c r="D257" i="8"/>
  <c r="L257" i="8"/>
  <c r="X257" i="8"/>
  <c r="M257" i="8"/>
  <c r="Y257" i="8"/>
  <c r="T257" i="8"/>
  <c r="N257" i="8"/>
  <c r="Z257" i="8"/>
  <c r="P257" i="8"/>
  <c r="AB257" i="8"/>
  <c r="AD257" i="8"/>
  <c r="R257" i="8"/>
  <c r="AC257" i="8"/>
  <c r="E257" i="8"/>
  <c r="F257" i="8"/>
  <c r="U257" i="8"/>
  <c r="AF257" i="8"/>
  <c r="K251" i="8"/>
  <c r="S251" i="8"/>
  <c r="AA251" i="8"/>
  <c r="L251" i="8"/>
  <c r="T251" i="8"/>
  <c r="AB251" i="8"/>
  <c r="E251" i="8"/>
  <c r="M251" i="8"/>
  <c r="U251" i="8"/>
  <c r="AC251" i="8"/>
  <c r="F251" i="8"/>
  <c r="N251" i="8"/>
  <c r="V251" i="8"/>
  <c r="AD251" i="8"/>
  <c r="G251" i="8"/>
  <c r="O251" i="8"/>
  <c r="W251" i="8"/>
  <c r="AE251" i="8"/>
  <c r="H251" i="8"/>
  <c r="P251" i="8"/>
  <c r="X251" i="8"/>
  <c r="AF251" i="8"/>
  <c r="I251" i="8"/>
  <c r="Q251" i="8"/>
  <c r="Y251" i="8"/>
  <c r="AG251" i="8"/>
  <c r="J251" i="8"/>
  <c r="R251" i="8"/>
  <c r="Z251" i="8"/>
  <c r="D251" i="8"/>
  <c r="L246" i="8"/>
  <c r="T246" i="8"/>
  <c r="AB246" i="8"/>
  <c r="E246" i="8"/>
  <c r="M246" i="8"/>
  <c r="U246" i="8"/>
  <c r="AC246" i="8"/>
  <c r="F246" i="8"/>
  <c r="N246" i="8"/>
  <c r="V246" i="8"/>
  <c r="AD246" i="8"/>
  <c r="G246" i="8"/>
  <c r="O246" i="8"/>
  <c r="W246" i="8"/>
  <c r="AE246" i="8"/>
  <c r="H246" i="8"/>
  <c r="P246" i="8"/>
  <c r="X246" i="8"/>
  <c r="AF246" i="8"/>
  <c r="I246" i="8"/>
  <c r="Q246" i="8"/>
  <c r="Y246" i="8"/>
  <c r="AG246" i="8"/>
  <c r="J246" i="8"/>
  <c r="R246" i="8"/>
  <c r="Z246" i="8"/>
  <c r="AA246" i="8"/>
  <c r="K246" i="8"/>
  <c r="S246" i="8"/>
  <c r="D246" i="8"/>
  <c r="F244" i="8"/>
  <c r="N244" i="8"/>
  <c r="V244" i="8"/>
  <c r="AD244" i="8"/>
  <c r="G244" i="8"/>
  <c r="O244" i="8"/>
  <c r="W244" i="8"/>
  <c r="AE244" i="8"/>
  <c r="H244" i="8"/>
  <c r="P244" i="8"/>
  <c r="X244" i="8"/>
  <c r="AF244" i="8"/>
  <c r="I244" i="8"/>
  <c r="Q244" i="8"/>
  <c r="Y244" i="8"/>
  <c r="AG244" i="8"/>
  <c r="J244" i="8"/>
  <c r="R244" i="8"/>
  <c r="Z244" i="8"/>
  <c r="K244" i="8"/>
  <c r="S244" i="8"/>
  <c r="AA244" i="8"/>
  <c r="L244" i="8"/>
  <c r="T244" i="8"/>
  <c r="AB244" i="8"/>
  <c r="D244" i="8"/>
  <c r="U244" i="8"/>
  <c r="AC244" i="8"/>
  <c r="E244" i="8"/>
  <c r="M244" i="8"/>
  <c r="G247" i="8"/>
  <c r="O247" i="8"/>
  <c r="W247" i="8"/>
  <c r="AE247" i="8"/>
  <c r="H247" i="8"/>
  <c r="P247" i="8"/>
  <c r="X247" i="8"/>
  <c r="AF247" i="8"/>
  <c r="I247" i="8"/>
  <c r="Q247" i="8"/>
  <c r="Y247" i="8"/>
  <c r="AG247" i="8"/>
  <c r="J247" i="8"/>
  <c r="R247" i="8"/>
  <c r="Z247" i="8"/>
  <c r="K247" i="8"/>
  <c r="S247" i="8"/>
  <c r="AA247" i="8"/>
  <c r="L247" i="8"/>
  <c r="T247" i="8"/>
  <c r="AB247" i="8"/>
  <c r="E247" i="8"/>
  <c r="M247" i="8"/>
  <c r="U247" i="8"/>
  <c r="AC247" i="8"/>
  <c r="D247" i="8"/>
  <c r="F247" i="8"/>
  <c r="N247" i="8"/>
  <c r="V247" i="8"/>
  <c r="AD247" i="8"/>
  <c r="H250" i="8"/>
  <c r="P250" i="8"/>
  <c r="X250" i="8"/>
  <c r="AF250" i="8"/>
  <c r="I250" i="8"/>
  <c r="Q250" i="8"/>
  <c r="Y250" i="8"/>
  <c r="AG250" i="8"/>
  <c r="J250" i="8"/>
  <c r="R250" i="8"/>
  <c r="Z250" i="8"/>
  <c r="K250" i="8"/>
  <c r="S250" i="8"/>
  <c r="AA250" i="8"/>
  <c r="L250" i="8"/>
  <c r="T250" i="8"/>
  <c r="AB250" i="8"/>
  <c r="E250" i="8"/>
  <c r="M250" i="8"/>
  <c r="U250" i="8"/>
  <c r="AC250" i="8"/>
  <c r="F250" i="8"/>
  <c r="N250" i="8"/>
  <c r="V250" i="8"/>
  <c r="AD250" i="8"/>
  <c r="D250" i="8"/>
  <c r="G250" i="8"/>
  <c r="O250" i="8"/>
  <c r="W250" i="8"/>
  <c r="AE250" i="8"/>
  <c r="M229" i="8"/>
  <c r="M234" i="8"/>
  <c r="F262" i="8"/>
  <c r="N262" i="8"/>
  <c r="V262" i="8"/>
  <c r="AD262" i="8"/>
  <c r="J262" i="8"/>
  <c r="R262" i="8"/>
  <c r="Z262" i="8"/>
  <c r="E262" i="8"/>
  <c r="P262" i="8"/>
  <c r="AA262" i="8"/>
  <c r="G262" i="8"/>
  <c r="Q262" i="8"/>
  <c r="AB262" i="8"/>
  <c r="H262" i="8"/>
  <c r="S262" i="8"/>
  <c r="AC262" i="8"/>
  <c r="X262" i="8"/>
  <c r="I262" i="8"/>
  <c r="T262" i="8"/>
  <c r="AE262" i="8"/>
  <c r="K262" i="8"/>
  <c r="U262" i="8"/>
  <c r="AF262" i="8"/>
  <c r="L262" i="8"/>
  <c r="W262" i="8"/>
  <c r="AG262" i="8"/>
  <c r="D262" i="8"/>
  <c r="M262" i="8"/>
  <c r="O262" i="8"/>
  <c r="Y262" i="8"/>
  <c r="M224" i="8"/>
  <c r="M221" i="8"/>
  <c r="M226" i="8"/>
  <c r="K253" i="8"/>
  <c r="S253" i="8"/>
  <c r="AA253" i="8"/>
  <c r="L253" i="8"/>
  <c r="T253" i="8"/>
  <c r="AB253" i="8"/>
  <c r="E253" i="8"/>
  <c r="M253" i="8"/>
  <c r="U253" i="8"/>
  <c r="AC253" i="8"/>
  <c r="F253" i="8"/>
  <c r="N253" i="8"/>
  <c r="V253" i="8"/>
  <c r="AD253" i="8"/>
  <c r="G253" i="8"/>
  <c r="O253" i="8"/>
  <c r="W253" i="8"/>
  <c r="AE253" i="8"/>
  <c r="R253" i="8"/>
  <c r="X253" i="8"/>
  <c r="Y253" i="8"/>
  <c r="H253" i="8"/>
  <c r="Z253" i="8"/>
  <c r="I253" i="8"/>
  <c r="AF253" i="8"/>
  <c r="D253" i="8"/>
  <c r="J253" i="8"/>
  <c r="AG253" i="8"/>
  <c r="P253" i="8"/>
  <c r="Q253" i="8"/>
  <c r="J258" i="8"/>
  <c r="R258" i="8"/>
  <c r="Z258" i="8"/>
  <c r="F258" i="8"/>
  <c r="N258" i="8"/>
  <c r="V258" i="8"/>
  <c r="AD258" i="8"/>
  <c r="O258" i="8"/>
  <c r="Y258" i="8"/>
  <c r="E258" i="8"/>
  <c r="P258" i="8"/>
  <c r="AA258" i="8"/>
  <c r="D258" i="8"/>
  <c r="G258" i="8"/>
  <c r="Q258" i="8"/>
  <c r="AB258" i="8"/>
  <c r="H258" i="8"/>
  <c r="S258" i="8"/>
  <c r="AC258" i="8"/>
  <c r="I258" i="8"/>
  <c r="T258" i="8"/>
  <c r="AE258" i="8"/>
  <c r="K258" i="8"/>
  <c r="U258" i="8"/>
  <c r="AF258" i="8"/>
  <c r="L258" i="8"/>
  <c r="W258" i="8"/>
  <c r="AG258" i="8"/>
  <c r="M258" i="8"/>
  <c r="X258" i="8"/>
  <c r="E259" i="8"/>
  <c r="M259" i="8"/>
  <c r="U259" i="8"/>
  <c r="AC259" i="8"/>
  <c r="I259" i="8"/>
  <c r="Q259" i="8"/>
  <c r="Y259" i="8"/>
  <c r="AG259" i="8"/>
  <c r="G259" i="8"/>
  <c r="R259" i="8"/>
  <c r="AB259" i="8"/>
  <c r="H259" i="8"/>
  <c r="S259" i="8"/>
  <c r="AD259" i="8"/>
  <c r="Z259" i="8"/>
  <c r="J259" i="8"/>
  <c r="T259" i="8"/>
  <c r="AE259" i="8"/>
  <c r="D259" i="8"/>
  <c r="K259" i="8"/>
  <c r="V259" i="8"/>
  <c r="AF259" i="8"/>
  <c r="L259" i="8"/>
  <c r="W259" i="8"/>
  <c r="N259" i="8"/>
  <c r="X259" i="8"/>
  <c r="O259" i="8"/>
  <c r="F259" i="8"/>
  <c r="P259" i="8"/>
  <c r="AA259" i="8"/>
  <c r="K243" i="8"/>
  <c r="S243" i="8"/>
  <c r="AA243" i="8"/>
  <c r="L243" i="8"/>
  <c r="T243" i="8"/>
  <c r="AB243" i="8"/>
  <c r="E243" i="8"/>
  <c r="M243" i="8"/>
  <c r="U243" i="8"/>
  <c r="AC243" i="8"/>
  <c r="F243" i="8"/>
  <c r="N243" i="8"/>
  <c r="V243" i="8"/>
  <c r="AD243" i="8"/>
  <c r="G243" i="8"/>
  <c r="O243" i="8"/>
  <c r="W243" i="8"/>
  <c r="AE243" i="8"/>
  <c r="H243" i="8"/>
  <c r="P243" i="8"/>
  <c r="X243" i="8"/>
  <c r="AF243" i="8"/>
  <c r="I243" i="8"/>
  <c r="Q243" i="8"/>
  <c r="Y243" i="8"/>
  <c r="AG243" i="8"/>
  <c r="J243" i="8"/>
  <c r="R243" i="8"/>
  <c r="Z243" i="8"/>
  <c r="M231" i="8"/>
  <c r="M218" i="8"/>
  <c r="F100" i="8"/>
  <c r="G17" i="13" s="1"/>
  <c r="F99" i="8"/>
  <c r="G16" i="13" s="1"/>
  <c r="E365" i="8"/>
  <c r="F364" i="8" s="1"/>
  <c r="E92" i="11" l="1"/>
  <c r="E93" i="11"/>
  <c r="E94" i="11"/>
  <c r="AB263" i="8"/>
  <c r="G264" i="8"/>
  <c r="Y263" i="8"/>
  <c r="U263" i="8"/>
  <c r="AG263" i="8"/>
  <c r="AE263" i="8"/>
  <c r="AC263" i="8"/>
  <c r="S263" i="8"/>
  <c r="K263" i="8"/>
  <c r="Q263" i="8"/>
  <c r="O263" i="8"/>
  <c r="M263" i="8"/>
  <c r="W263" i="8"/>
  <c r="M264" i="8"/>
  <c r="D264" i="8"/>
  <c r="AF264" i="8"/>
  <c r="E264" i="8"/>
  <c r="Z264" i="8"/>
  <c r="X264" i="8"/>
  <c r="I263" i="8"/>
  <c r="G263" i="8"/>
  <c r="E263" i="8"/>
  <c r="AD264" i="8"/>
  <c r="AB264" i="8"/>
  <c r="R264" i="8"/>
  <c r="P264" i="8"/>
  <c r="Z263" i="8"/>
  <c r="V264" i="8"/>
  <c r="T264" i="8"/>
  <c r="J264" i="8"/>
  <c r="H264" i="8"/>
  <c r="AD263" i="8"/>
  <c r="D263" i="8"/>
  <c r="X263" i="8"/>
  <c r="V263" i="8"/>
  <c r="T263" i="8"/>
  <c r="N264" i="8"/>
  <c r="L264" i="8"/>
  <c r="AG264" i="8"/>
  <c r="AE264" i="8"/>
  <c r="R263" i="8"/>
  <c r="L263" i="8"/>
  <c r="F264" i="8"/>
  <c r="AA264" i="8"/>
  <c r="Y264" i="8"/>
  <c r="W264" i="8"/>
  <c r="AF263" i="8"/>
  <c r="P263" i="8"/>
  <c r="N263" i="8"/>
  <c r="J263" i="8"/>
  <c r="H263" i="8"/>
  <c r="F263" i="8"/>
  <c r="AA263" i="8"/>
  <c r="AC264" i="8"/>
  <c r="S264" i="8"/>
  <c r="Q264" i="8"/>
  <c r="O264" i="8"/>
  <c r="U264" i="8"/>
  <c r="K264" i="8"/>
  <c r="I264" i="8"/>
  <c r="F363" i="8"/>
  <c r="F362" i="8"/>
  <c r="F361" i="8"/>
  <c r="Y265" i="8" l="1"/>
  <c r="U265" i="8"/>
  <c r="R265" i="8"/>
  <c r="Q265" i="8"/>
  <c r="E265" i="8"/>
  <c r="AG265" i="8"/>
  <c r="O265" i="8"/>
  <c r="AB265" i="8"/>
  <c r="K265" i="8"/>
  <c r="X265" i="8"/>
  <c r="G265" i="8"/>
  <c r="S265" i="8"/>
  <c r="AE265" i="8"/>
  <c r="AC265" i="8"/>
  <c r="H265" i="8"/>
  <c r="M265" i="8"/>
  <c r="D265" i="8"/>
  <c r="N265" i="8"/>
  <c r="L265" i="8"/>
  <c r="T265" i="8"/>
  <c r="J265" i="8"/>
  <c r="P265" i="8"/>
  <c r="V265" i="8"/>
  <c r="Z265" i="8"/>
  <c r="I265" i="8"/>
  <c r="AF265" i="8"/>
  <c r="W265" i="8"/>
  <c r="AA265" i="8"/>
  <c r="AD265" i="8"/>
  <c r="F265" i="8"/>
  <c r="F365" i="8"/>
  <c r="E311" i="8"/>
  <c r="G308" i="8"/>
  <c r="G310" i="8" s="1"/>
  <c r="H308" i="8"/>
  <c r="H310" i="8" s="1"/>
  <c r="I308" i="8"/>
  <c r="I310" i="8" s="1"/>
  <c r="J308" i="8"/>
  <c r="J310" i="8" s="1"/>
  <c r="K308" i="8"/>
  <c r="K310" i="8" s="1"/>
  <c r="L308" i="8"/>
  <c r="L310" i="8" s="1"/>
  <c r="M308" i="8"/>
  <c r="M310" i="8" s="1"/>
  <c r="N308" i="8"/>
  <c r="N310" i="8" s="1"/>
  <c r="O308" i="8"/>
  <c r="O310" i="8" s="1"/>
  <c r="P308" i="8"/>
  <c r="P310" i="8" s="1"/>
  <c r="Q308" i="8"/>
  <c r="Q310" i="8" s="1"/>
  <c r="R308" i="8"/>
  <c r="R310" i="8" s="1"/>
  <c r="S308" i="8"/>
  <c r="S310" i="8" s="1"/>
  <c r="T308" i="8"/>
  <c r="T310" i="8" s="1"/>
  <c r="U308" i="8"/>
  <c r="U310" i="8" s="1"/>
  <c r="V308" i="8"/>
  <c r="V310" i="8" s="1"/>
  <c r="W308" i="8"/>
  <c r="W310" i="8" s="1"/>
  <c r="X308" i="8"/>
  <c r="X310" i="8" s="1"/>
  <c r="Y308" i="8"/>
  <c r="Y310" i="8" s="1"/>
  <c r="Z308" i="8"/>
  <c r="Z310" i="8" s="1"/>
  <c r="AA308" i="8"/>
  <c r="AA310" i="8" s="1"/>
  <c r="AB308" i="8"/>
  <c r="AB310" i="8" s="1"/>
  <c r="AC308" i="8"/>
  <c r="AC310" i="8" s="1"/>
  <c r="AD308" i="8"/>
  <c r="AD310" i="8" s="1"/>
  <c r="AE308" i="8"/>
  <c r="AE310" i="8" s="1"/>
  <c r="AF308" i="8"/>
  <c r="AF310" i="8" s="1"/>
  <c r="AG308" i="8"/>
  <c r="AG310" i="8" s="1"/>
  <c r="AH308" i="8"/>
  <c r="AH310" i="8" s="1"/>
  <c r="F308" i="8"/>
  <c r="F310" i="8" s="1"/>
  <c r="E308" i="8"/>
  <c r="E310" i="8" s="1"/>
  <c r="F311" i="8"/>
  <c r="G311" i="8"/>
  <c r="H311" i="8"/>
  <c r="I311" i="8"/>
  <c r="J311" i="8"/>
  <c r="K311" i="8"/>
  <c r="L311" i="8"/>
  <c r="M311" i="8"/>
  <c r="N311" i="8"/>
  <c r="O311" i="8"/>
  <c r="P311" i="8"/>
  <c r="Q311" i="8"/>
  <c r="R311" i="8"/>
  <c r="S311" i="8"/>
  <c r="T311" i="8"/>
  <c r="U311" i="8"/>
  <c r="V311" i="8"/>
  <c r="W311" i="8"/>
  <c r="X311" i="8"/>
  <c r="Y311" i="8"/>
  <c r="Z311" i="8"/>
  <c r="AA311" i="8"/>
  <c r="AB311" i="8"/>
  <c r="AC311" i="8"/>
  <c r="AD311" i="8"/>
  <c r="AE311" i="8"/>
  <c r="AF311" i="8"/>
  <c r="AG311" i="8"/>
  <c r="AH311" i="8"/>
  <c r="F293" i="8"/>
  <c r="G293" i="8"/>
  <c r="H293" i="8"/>
  <c r="I293" i="8"/>
  <c r="J293" i="8"/>
  <c r="K293" i="8"/>
  <c r="L293" i="8"/>
  <c r="M293" i="8"/>
  <c r="N293" i="8"/>
  <c r="O293" i="8"/>
  <c r="P293" i="8"/>
  <c r="Q293" i="8"/>
  <c r="R293" i="8"/>
  <c r="S293" i="8"/>
  <c r="T293" i="8"/>
  <c r="U293" i="8"/>
  <c r="V293" i="8"/>
  <c r="W293" i="8"/>
  <c r="X293" i="8"/>
  <c r="Y293" i="8"/>
  <c r="Z293" i="8"/>
  <c r="AA293" i="8"/>
  <c r="AB293" i="8"/>
  <c r="AC293" i="8"/>
  <c r="AD293" i="8"/>
  <c r="AE293" i="8"/>
  <c r="AF293" i="8"/>
  <c r="AG293" i="8"/>
  <c r="AH293" i="8"/>
  <c r="E293" i="8"/>
  <c r="H271" i="8"/>
  <c r="I271" i="8"/>
  <c r="J271" i="8"/>
  <c r="K271" i="8"/>
  <c r="L271" i="8"/>
  <c r="M271" i="8"/>
  <c r="N271" i="8"/>
  <c r="O271" i="8"/>
  <c r="P271" i="8"/>
  <c r="Q271" i="8"/>
  <c r="R271" i="8"/>
  <c r="S271" i="8"/>
  <c r="T271" i="8"/>
  <c r="U271" i="8"/>
  <c r="V271" i="8"/>
  <c r="W271" i="8"/>
  <c r="X271" i="8"/>
  <c r="Y271" i="8"/>
  <c r="Z271" i="8"/>
  <c r="AA271" i="8"/>
  <c r="AB271" i="8"/>
  <c r="AC271" i="8"/>
  <c r="AD271" i="8"/>
  <c r="AE271" i="8"/>
  <c r="AF271" i="8"/>
  <c r="AG271" i="8"/>
  <c r="AH271" i="8"/>
  <c r="AI271" i="8"/>
  <c r="AJ271" i="8"/>
  <c r="G271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17" i="8"/>
  <c r="B161" i="8"/>
  <c r="B162" i="8"/>
  <c r="C162" i="8"/>
  <c r="B163" i="8"/>
  <c r="C163" i="8"/>
  <c r="B164" i="8"/>
  <c r="C164" i="8"/>
  <c r="B165" i="8"/>
  <c r="C165" i="8"/>
  <c r="B166" i="8"/>
  <c r="C166" i="8"/>
  <c r="B167" i="8"/>
  <c r="C167" i="8"/>
  <c r="B168" i="8"/>
  <c r="C168" i="8"/>
  <c r="B169" i="8"/>
  <c r="C169" i="8"/>
  <c r="B170" i="8"/>
  <c r="C170" i="8"/>
  <c r="B171" i="8"/>
  <c r="C171" i="8"/>
  <c r="B172" i="8"/>
  <c r="C172" i="8"/>
  <c r="B173" i="8"/>
  <c r="C173" i="8"/>
  <c r="B174" i="8"/>
  <c r="C174" i="8"/>
  <c r="B175" i="8"/>
  <c r="C175" i="8"/>
  <c r="B176" i="8"/>
  <c r="C176" i="8"/>
  <c r="B177" i="8"/>
  <c r="C177" i="8"/>
  <c r="B178" i="8"/>
  <c r="C178" i="8"/>
  <c r="B179" i="8"/>
  <c r="C179" i="8"/>
  <c r="B180" i="8"/>
  <c r="C180" i="8"/>
  <c r="C161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56" i="8"/>
  <c r="E154" i="8"/>
  <c r="E183" i="8" s="1"/>
  <c r="F154" i="8"/>
  <c r="F183" i="8" s="1"/>
  <c r="G154" i="8"/>
  <c r="G183" i="8" s="1"/>
  <c r="H154" i="8"/>
  <c r="H183" i="8" s="1"/>
  <c r="I154" i="8"/>
  <c r="I183" i="8" s="1"/>
  <c r="J154" i="8"/>
  <c r="J183" i="8" s="1"/>
  <c r="K154" i="8"/>
  <c r="K183" i="8" s="1"/>
  <c r="L154" i="8"/>
  <c r="L183" i="8" s="1"/>
  <c r="M154" i="8"/>
  <c r="M183" i="8" s="1"/>
  <c r="N154" i="8"/>
  <c r="N183" i="8" s="1"/>
  <c r="O154" i="8"/>
  <c r="O183" i="8" s="1"/>
  <c r="P154" i="8"/>
  <c r="P183" i="8" s="1"/>
  <c r="Q154" i="8"/>
  <c r="Q183" i="8" s="1"/>
  <c r="R154" i="8"/>
  <c r="R183" i="8" s="1"/>
  <c r="S154" i="8"/>
  <c r="S183" i="8" s="1"/>
  <c r="T154" i="8"/>
  <c r="T183" i="8" s="1"/>
  <c r="U154" i="8"/>
  <c r="U183" i="8" s="1"/>
  <c r="V154" i="8"/>
  <c r="V183" i="8" s="1"/>
  <c r="W154" i="8"/>
  <c r="W183" i="8" s="1"/>
  <c r="X154" i="8"/>
  <c r="X183" i="8" s="1"/>
  <c r="Y154" i="8"/>
  <c r="Y183" i="8" s="1"/>
  <c r="Z154" i="8"/>
  <c r="Z183" i="8" s="1"/>
  <c r="AA154" i="8"/>
  <c r="AA183" i="8" s="1"/>
  <c r="AB154" i="8"/>
  <c r="AB183" i="8" s="1"/>
  <c r="AC154" i="8"/>
  <c r="AC183" i="8" s="1"/>
  <c r="AD154" i="8"/>
  <c r="AD183" i="8" s="1"/>
  <c r="AE154" i="8"/>
  <c r="AE183" i="8" s="1"/>
  <c r="AF154" i="8"/>
  <c r="AF183" i="8" s="1"/>
  <c r="AG154" i="8"/>
  <c r="AG183" i="8" s="1"/>
  <c r="D154" i="8"/>
  <c r="D183" i="8" s="1"/>
  <c r="E128" i="8"/>
  <c r="F128" i="8"/>
  <c r="G128" i="8"/>
  <c r="H128" i="8"/>
  <c r="I128" i="8"/>
  <c r="J128" i="8"/>
  <c r="K128" i="8"/>
  <c r="L128" i="8"/>
  <c r="M128" i="8"/>
  <c r="N128" i="8"/>
  <c r="O128" i="8"/>
  <c r="P128" i="8"/>
  <c r="Q128" i="8"/>
  <c r="R128" i="8"/>
  <c r="S128" i="8"/>
  <c r="T128" i="8"/>
  <c r="U128" i="8"/>
  <c r="V128" i="8"/>
  <c r="W128" i="8"/>
  <c r="X128" i="8"/>
  <c r="Y128" i="8"/>
  <c r="Z128" i="8"/>
  <c r="AA128" i="8"/>
  <c r="AB128" i="8"/>
  <c r="AC128" i="8"/>
  <c r="AD128" i="8"/>
  <c r="AE128" i="8"/>
  <c r="AF128" i="8"/>
  <c r="AG128" i="8"/>
  <c r="D128" i="8"/>
  <c r="B199" i="8" l="1"/>
  <c r="B255" i="8"/>
  <c r="B191" i="8"/>
  <c r="B247" i="8"/>
  <c r="B190" i="8"/>
  <c r="B246" i="8"/>
  <c r="B192" i="8"/>
  <c r="B248" i="8"/>
  <c r="B205" i="8"/>
  <c r="B261" i="8"/>
  <c r="B197" i="8"/>
  <c r="B253" i="8"/>
  <c r="B189" i="8"/>
  <c r="B245" i="8"/>
  <c r="B200" i="8"/>
  <c r="B256" i="8"/>
  <c r="B206" i="8"/>
  <c r="B262" i="8"/>
  <c r="B204" i="8"/>
  <c r="B260" i="8"/>
  <c r="B196" i="8"/>
  <c r="B252" i="8"/>
  <c r="B188" i="8"/>
  <c r="B244" i="8"/>
  <c r="B198" i="8"/>
  <c r="B254" i="8"/>
  <c r="B203" i="8"/>
  <c r="B259" i="8"/>
  <c r="B195" i="8"/>
  <c r="B251" i="8"/>
  <c r="B187" i="8"/>
  <c r="B243" i="8"/>
  <c r="B194" i="8"/>
  <c r="B250" i="8"/>
  <c r="B202" i="8"/>
  <c r="B258" i="8"/>
  <c r="B201" i="8"/>
  <c r="B257" i="8"/>
  <c r="B193" i="8"/>
  <c r="B249" i="8"/>
  <c r="N57" i="8"/>
  <c r="AS57" i="8" s="1"/>
  <c r="N58" i="8"/>
  <c r="AS58" i="8" s="1"/>
  <c r="AS59" i="8"/>
  <c r="N60" i="8"/>
  <c r="AS60" i="8" s="1"/>
  <c r="N61" i="8"/>
  <c r="AS61" i="8" s="1"/>
  <c r="N62" i="8"/>
  <c r="AS62" i="8" s="1"/>
  <c r="N63" i="8"/>
  <c r="AS63" i="8" s="1"/>
  <c r="N64" i="8"/>
  <c r="N65" i="8"/>
  <c r="N66" i="8"/>
  <c r="N67" i="8"/>
  <c r="N68" i="8"/>
  <c r="N69" i="8"/>
  <c r="N70" i="8"/>
  <c r="N71" i="8"/>
  <c r="N72" i="8"/>
  <c r="N73" i="8"/>
  <c r="N74" i="8"/>
  <c r="N75" i="8"/>
  <c r="N56" i="8"/>
  <c r="B57" i="8"/>
  <c r="E57" i="8" s="1"/>
  <c r="B58" i="8"/>
  <c r="E58" i="8" s="1"/>
  <c r="B59" i="8"/>
  <c r="E59" i="8" s="1"/>
  <c r="B60" i="8"/>
  <c r="E60" i="8" s="1"/>
  <c r="B61" i="8"/>
  <c r="E61" i="8" s="1"/>
  <c r="B62" i="8"/>
  <c r="E62" i="8" s="1"/>
  <c r="B63" i="8"/>
  <c r="E63" i="8" s="1"/>
  <c r="B64" i="8"/>
  <c r="E64" i="8" s="1"/>
  <c r="B65" i="8"/>
  <c r="E65" i="8" s="1"/>
  <c r="B66" i="8"/>
  <c r="E66" i="8" s="1"/>
  <c r="B67" i="8"/>
  <c r="E67" i="8" s="1"/>
  <c r="B68" i="8"/>
  <c r="E68" i="8" s="1"/>
  <c r="B69" i="8"/>
  <c r="E69" i="8" s="1"/>
  <c r="B70" i="8"/>
  <c r="E70" i="8" s="1"/>
  <c r="B71" i="8"/>
  <c r="E71" i="8" s="1"/>
  <c r="B72" i="8"/>
  <c r="E72" i="8" s="1"/>
  <c r="B73" i="8"/>
  <c r="E73" i="8" s="1"/>
  <c r="B74" i="8"/>
  <c r="E74" i="8" s="1"/>
  <c r="B75" i="8"/>
  <c r="E75" i="8" s="1"/>
  <c r="E56" i="8"/>
  <c r="B39" i="7"/>
  <c r="B41" i="7"/>
  <c r="G13" i="13" l="1"/>
  <c r="B40" i="7"/>
  <c r="H26" i="2"/>
  <c r="F20" i="4"/>
  <c r="L3" i="11" s="1"/>
  <c r="H22" i="2"/>
  <c r="H23" i="2"/>
  <c r="H24" i="2"/>
  <c r="H25" i="2"/>
  <c r="H21" i="2"/>
  <c r="A2" i="7" l="1"/>
  <c r="A3" i="7" l="1"/>
  <c r="A4" i="7" s="1"/>
  <c r="A5" i="7" s="1"/>
  <c r="A6" i="7" s="1"/>
  <c r="A7" i="7" s="1"/>
  <c r="A8" i="7" s="1"/>
  <c r="A9" i="7" s="1"/>
  <c r="A10" i="7" s="1"/>
  <c r="A11" i="7" s="1"/>
  <c r="A12" i="7" s="1"/>
  <c r="L323" i="8"/>
  <c r="K324" i="8"/>
  <c r="J325" i="8"/>
  <c r="L325" i="8"/>
  <c r="J322" i="8"/>
  <c r="L324" i="8"/>
  <c r="K325" i="8"/>
  <c r="J17" i="4"/>
  <c r="K323" i="8" l="1"/>
  <c r="L322" i="8"/>
  <c r="J16" i="4"/>
  <c r="L15" i="4"/>
  <c r="L17" i="4"/>
  <c r="F3" i="11" s="1"/>
  <c r="H9" i="11" l="1"/>
  <c r="M9" i="11"/>
  <c r="G9" i="11"/>
  <c r="N9" i="11"/>
  <c r="K9" i="11"/>
  <c r="J9" i="11"/>
  <c r="I9" i="11"/>
  <c r="F9" i="11"/>
  <c r="L9" i="11"/>
  <c r="L12" i="4"/>
  <c r="F372" i="8"/>
  <c r="G20" i="13" s="1"/>
  <c r="L11" i="4"/>
  <c r="D13" i="4"/>
  <c r="E86" i="11" l="1"/>
  <c r="O53" i="8"/>
  <c r="D240" i="8" s="1"/>
  <c r="C315" i="8"/>
  <c r="L14" i="4"/>
  <c r="H26" i="4" s="1"/>
  <c r="I26" i="4" s="1"/>
  <c r="B14" i="1"/>
  <c r="D155" i="8" l="1"/>
  <c r="D184" i="8" s="1"/>
  <c r="D329" i="8"/>
  <c r="P53" i="8"/>
  <c r="E240" i="8" s="1"/>
  <c r="O54" i="8"/>
  <c r="D241" i="8" s="1"/>
  <c r="O55" i="8"/>
  <c r="D242" i="8" s="1"/>
  <c r="D129" i="8"/>
  <c r="G272" i="8"/>
  <c r="E294" i="8"/>
  <c r="L11" i="9"/>
  <c r="D315" i="8"/>
  <c r="C379" i="8"/>
  <c r="F10" i="12" s="1"/>
  <c r="B26" i="4"/>
  <c r="L16" i="4" s="1"/>
  <c r="J26" i="4"/>
  <c r="K26" i="4" s="1"/>
  <c r="H27" i="4"/>
  <c r="H28" i="4" s="1"/>
  <c r="J28" i="4" s="1"/>
  <c r="G17" i="4"/>
  <c r="G15" i="4"/>
  <c r="G13" i="4"/>
  <c r="D17" i="4"/>
  <c r="D15" i="4"/>
  <c r="D14" i="4"/>
  <c r="D16" i="4" s="1"/>
  <c r="D26" i="4" l="1"/>
  <c r="F26" i="4"/>
  <c r="A26" i="4" s="1"/>
  <c r="L18" i="9"/>
  <c r="M11" i="9"/>
  <c r="E329" i="8"/>
  <c r="E155" i="8"/>
  <c r="E184" i="8" s="1"/>
  <c r="F294" i="8"/>
  <c r="L12" i="9"/>
  <c r="D330" i="8"/>
  <c r="D332" i="8" s="1"/>
  <c r="G274" i="8"/>
  <c r="D331" i="8"/>
  <c r="Q53" i="8"/>
  <c r="F240" i="8" s="1"/>
  <c r="P54" i="8"/>
  <c r="E241" i="8" s="1"/>
  <c r="D130" i="8"/>
  <c r="E129" i="8"/>
  <c r="P55" i="8"/>
  <c r="E242" i="8" s="1"/>
  <c r="H272" i="8"/>
  <c r="E295" i="8"/>
  <c r="G273" i="8"/>
  <c r="D156" i="8"/>
  <c r="D185" i="8" s="1"/>
  <c r="L14" i="9"/>
  <c r="E296" i="8"/>
  <c r="D131" i="8"/>
  <c r="D157" i="8"/>
  <c r="D186" i="8" s="1"/>
  <c r="F389" i="8"/>
  <c r="F390" i="8"/>
  <c r="F399" i="8" s="1"/>
  <c r="C26" i="4"/>
  <c r="E26" i="4" s="1"/>
  <c r="E315" i="8"/>
  <c r="D379" i="8"/>
  <c r="G10" i="12" s="1"/>
  <c r="I27" i="4"/>
  <c r="B27" i="4"/>
  <c r="C27" i="4" s="1"/>
  <c r="J27" i="4"/>
  <c r="H29" i="4"/>
  <c r="J29" i="4" s="1"/>
  <c r="I28" i="4"/>
  <c r="K28" i="4" s="1"/>
  <c r="B28" i="4"/>
  <c r="D158" i="8" l="1"/>
  <c r="K27" i="4"/>
  <c r="D27" i="4"/>
  <c r="E27" i="4" s="1"/>
  <c r="N15" i="9"/>
  <c r="N55" i="9" s="1"/>
  <c r="L13" i="9"/>
  <c r="L17" i="9"/>
  <c r="M18" i="9"/>
  <c r="E158" i="8" s="1"/>
  <c r="D343" i="8"/>
  <c r="D342" i="8"/>
  <c r="D341" i="8"/>
  <c r="D344" i="8"/>
  <c r="D337" i="8"/>
  <c r="D336" i="8"/>
  <c r="D338" i="8"/>
  <c r="D335" i="8"/>
  <c r="M14" i="9"/>
  <c r="O15" i="9" s="1"/>
  <c r="E331" i="8"/>
  <c r="M12" i="9"/>
  <c r="E330" i="8"/>
  <c r="E332" i="8" s="1"/>
  <c r="I272" i="8"/>
  <c r="F329" i="8"/>
  <c r="F295" i="8"/>
  <c r="F129" i="8"/>
  <c r="G294" i="8"/>
  <c r="Q54" i="8"/>
  <c r="F241" i="8" s="1"/>
  <c r="N11" i="9"/>
  <c r="R53" i="8"/>
  <c r="G240" i="8" s="1"/>
  <c r="F155" i="8"/>
  <c r="F184" i="8" s="1"/>
  <c r="Q55" i="8"/>
  <c r="F242" i="8" s="1"/>
  <c r="H273" i="8"/>
  <c r="E130" i="8"/>
  <c r="E156" i="8"/>
  <c r="E185" i="8" s="1"/>
  <c r="F296" i="8"/>
  <c r="H274" i="8"/>
  <c r="E157" i="8"/>
  <c r="E186" i="8" s="1"/>
  <c r="E131" i="8"/>
  <c r="E389" i="8"/>
  <c r="E398" i="8" s="1"/>
  <c r="F398" i="8"/>
  <c r="F315" i="8"/>
  <c r="E379" i="8"/>
  <c r="H10" i="12" s="1"/>
  <c r="F27" i="4"/>
  <c r="A27" i="4" s="1"/>
  <c r="F28" i="4" s="1"/>
  <c r="A28" i="4" s="1"/>
  <c r="D28" i="4"/>
  <c r="C28" i="4"/>
  <c r="H30" i="4"/>
  <c r="J30" i="4" s="1"/>
  <c r="I29" i="4"/>
  <c r="K29" i="4" s="1"/>
  <c r="B29" i="4"/>
  <c r="D160" i="8" l="1"/>
  <c r="D333" i="8"/>
  <c r="L139" i="9"/>
  <c r="L282" i="9" s="1"/>
  <c r="L287" i="9" s="1"/>
  <c r="N47" i="9"/>
  <c r="N53" i="9"/>
  <c r="N46" i="9"/>
  <c r="N43" i="9"/>
  <c r="N54" i="9"/>
  <c r="N39" i="9"/>
  <c r="N42" i="9"/>
  <c r="N52" i="9"/>
  <c r="N40" i="9"/>
  <c r="N50" i="9"/>
  <c r="N44" i="9"/>
  <c r="N51" i="9"/>
  <c r="N38" i="9"/>
  <c r="N37" i="9"/>
  <c r="N56" i="9"/>
  <c r="N49" i="9"/>
  <c r="N48" i="9"/>
  <c r="N45" i="9"/>
  <c r="N41" i="9"/>
  <c r="O38" i="9"/>
  <c r="O44" i="9"/>
  <c r="O50" i="9"/>
  <c r="O42" i="9"/>
  <c r="O48" i="9"/>
  <c r="O54" i="9"/>
  <c r="O52" i="9"/>
  <c r="O37" i="9"/>
  <c r="O51" i="9"/>
  <c r="O43" i="9"/>
  <c r="O41" i="9"/>
  <c r="O39" i="9"/>
  <c r="O53" i="9"/>
  <c r="O45" i="9"/>
  <c r="O47" i="9"/>
  <c r="O46" i="9"/>
  <c r="O55" i="9"/>
  <c r="O40" i="9"/>
  <c r="O56" i="9"/>
  <c r="O49" i="9"/>
  <c r="M13" i="9"/>
  <c r="E160" i="8" s="1"/>
  <c r="M17" i="9"/>
  <c r="N18" i="9"/>
  <c r="F158" i="8" s="1"/>
  <c r="D356" i="8"/>
  <c r="D350" i="8" s="1"/>
  <c r="D354" i="8"/>
  <c r="D355" i="8"/>
  <c r="D349" i="8" s="1"/>
  <c r="D353" i="8"/>
  <c r="D347" i="8" s="1"/>
  <c r="E343" i="8"/>
  <c r="E341" i="8"/>
  <c r="E344" i="8"/>
  <c r="E342" i="8"/>
  <c r="E336" i="8"/>
  <c r="E335" i="8"/>
  <c r="E337" i="8"/>
  <c r="E338" i="8"/>
  <c r="S53" i="8"/>
  <c r="G329" i="8"/>
  <c r="N14" i="9"/>
  <c r="F331" i="8"/>
  <c r="N12" i="9"/>
  <c r="F330" i="8"/>
  <c r="F332" i="8" s="1"/>
  <c r="G295" i="8"/>
  <c r="J272" i="8"/>
  <c r="F157" i="8"/>
  <c r="F186" i="8" s="1"/>
  <c r="H294" i="8"/>
  <c r="O11" i="9"/>
  <c r="G129" i="8"/>
  <c r="G155" i="8"/>
  <c r="G184" i="8" s="1"/>
  <c r="F130" i="8"/>
  <c r="R54" i="8"/>
  <c r="G241" i="8" s="1"/>
  <c r="F156" i="8"/>
  <c r="F185" i="8" s="1"/>
  <c r="F131" i="8"/>
  <c r="I274" i="8"/>
  <c r="R55" i="8"/>
  <c r="G242" i="8" s="1"/>
  <c r="I273" i="8"/>
  <c r="G296" i="8"/>
  <c r="E390" i="8"/>
  <c r="E399" i="8" s="1"/>
  <c r="D389" i="8"/>
  <c r="D398" i="8" s="1"/>
  <c r="G315" i="8"/>
  <c r="F379" i="8"/>
  <c r="I10" i="12" s="1"/>
  <c r="E28" i="4"/>
  <c r="D29" i="4"/>
  <c r="C29" i="4"/>
  <c r="H31" i="4"/>
  <c r="J31" i="4" s="1"/>
  <c r="I30" i="4"/>
  <c r="K30" i="4" s="1"/>
  <c r="B30" i="4"/>
  <c r="M139" i="9" l="1"/>
  <c r="M282" i="9" s="1"/>
  <c r="M287" i="9" s="1"/>
  <c r="E333" i="8"/>
  <c r="N36" i="9"/>
  <c r="N249" i="9" s="1"/>
  <c r="P15" i="9"/>
  <c r="M140" i="9"/>
  <c r="L141" i="9"/>
  <c r="O36" i="9"/>
  <c r="N13" i="9"/>
  <c r="F160" i="8" s="1"/>
  <c r="N17" i="9"/>
  <c r="O18" i="9"/>
  <c r="G158" i="8" s="1"/>
  <c r="E354" i="8"/>
  <c r="E348" i="8" s="1"/>
  <c r="M125" i="9" s="1"/>
  <c r="D348" i="8"/>
  <c r="L125" i="9" s="1"/>
  <c r="E353" i="8"/>
  <c r="E355" i="8"/>
  <c r="E349" i="8" s="1"/>
  <c r="E356" i="8"/>
  <c r="E350" i="8" s="1"/>
  <c r="F341" i="8"/>
  <c r="F344" i="8"/>
  <c r="F342" i="8"/>
  <c r="F343" i="8"/>
  <c r="F337" i="8"/>
  <c r="F338" i="8"/>
  <c r="F335" i="8"/>
  <c r="F336" i="8"/>
  <c r="H329" i="8"/>
  <c r="H240" i="8"/>
  <c r="H129" i="8"/>
  <c r="T53" i="8"/>
  <c r="T55" i="8" s="1"/>
  <c r="I242" i="8" s="1"/>
  <c r="S55" i="8"/>
  <c r="P11" i="9"/>
  <c r="I294" i="8"/>
  <c r="H155" i="8"/>
  <c r="H184" i="8" s="1"/>
  <c r="K272" i="8"/>
  <c r="O12" i="9"/>
  <c r="G330" i="8"/>
  <c r="G332" i="8" s="1"/>
  <c r="O14" i="9"/>
  <c r="G331" i="8"/>
  <c r="S54" i="8"/>
  <c r="H295" i="8"/>
  <c r="J273" i="8"/>
  <c r="G156" i="8"/>
  <c r="G185" i="8" s="1"/>
  <c r="G130" i="8"/>
  <c r="H296" i="8"/>
  <c r="G131" i="8"/>
  <c r="G157" i="8"/>
  <c r="G186" i="8" s="1"/>
  <c r="J274" i="8"/>
  <c r="D390" i="8"/>
  <c r="D399" i="8" s="1"/>
  <c r="C389" i="8"/>
  <c r="C390" i="8" s="1"/>
  <c r="C399" i="8" s="1"/>
  <c r="H315" i="8"/>
  <c r="G379" i="8"/>
  <c r="M28" i="9" s="1"/>
  <c r="E29" i="4"/>
  <c r="H32" i="4"/>
  <c r="J32" i="4" s="1"/>
  <c r="I31" i="4"/>
  <c r="K31" i="4" s="1"/>
  <c r="B31" i="4"/>
  <c r="D30" i="4"/>
  <c r="C30" i="4"/>
  <c r="N139" i="9" l="1"/>
  <c r="M22" i="9"/>
  <c r="N22" i="9"/>
  <c r="O94" i="9"/>
  <c r="O249" i="9"/>
  <c r="N94" i="9"/>
  <c r="P56" i="9"/>
  <c r="P37" i="9"/>
  <c r="P52" i="9"/>
  <c r="P53" i="9"/>
  <c r="P49" i="9"/>
  <c r="P47" i="9"/>
  <c r="P43" i="9"/>
  <c r="P38" i="9"/>
  <c r="P42" i="9"/>
  <c r="P46" i="9"/>
  <c r="P45" i="9"/>
  <c r="P44" i="9"/>
  <c r="P39" i="9"/>
  <c r="Q15" i="9"/>
  <c r="Q46" i="9" s="1"/>
  <c r="P48" i="9"/>
  <c r="P40" i="9"/>
  <c r="P55" i="9"/>
  <c r="P54" i="9"/>
  <c r="P41" i="9"/>
  <c r="P50" i="9"/>
  <c r="P51" i="9"/>
  <c r="F333" i="8"/>
  <c r="E30" i="4"/>
  <c r="N140" i="9"/>
  <c r="J10" i="12"/>
  <c r="L22" i="9"/>
  <c r="L23" i="9" s="1"/>
  <c r="L35" i="9" s="1"/>
  <c r="L28" i="9"/>
  <c r="L29" i="9" s="1"/>
  <c r="M29" i="9" s="1"/>
  <c r="L24" i="9"/>
  <c r="L25" i="9" s="1"/>
  <c r="L26" i="9"/>
  <c r="L27" i="9" s="1"/>
  <c r="M26" i="9"/>
  <c r="M24" i="9"/>
  <c r="M141" i="9"/>
  <c r="N28" i="9"/>
  <c r="N26" i="9"/>
  <c r="N24" i="9"/>
  <c r="O13" i="9"/>
  <c r="O17" i="9"/>
  <c r="P18" i="9"/>
  <c r="H158" i="8" s="1"/>
  <c r="F356" i="8"/>
  <c r="F350" i="8" s="1"/>
  <c r="F353" i="8"/>
  <c r="E347" i="8"/>
  <c r="E352" i="8"/>
  <c r="F355" i="8"/>
  <c r="F349" i="8" s="1"/>
  <c r="F354" i="8"/>
  <c r="F348" i="8" s="1"/>
  <c r="N125" i="9" s="1"/>
  <c r="G343" i="8"/>
  <c r="G341" i="8"/>
  <c r="G344" i="8"/>
  <c r="G342" i="8"/>
  <c r="G335" i="8"/>
  <c r="G336" i="8"/>
  <c r="G337" i="8"/>
  <c r="G338" i="8"/>
  <c r="I129" i="8"/>
  <c r="I155" i="8"/>
  <c r="I184" i="8" s="1"/>
  <c r="P14" i="9"/>
  <c r="H242" i="8"/>
  <c r="I329" i="8"/>
  <c r="I240" i="8"/>
  <c r="J294" i="8"/>
  <c r="I295" i="8"/>
  <c r="H241" i="8"/>
  <c r="T54" i="8"/>
  <c r="I241" i="8" s="1"/>
  <c r="U53" i="8"/>
  <c r="J129" i="8" s="1"/>
  <c r="L272" i="8"/>
  <c r="Q11" i="9"/>
  <c r="H131" i="8"/>
  <c r="H157" i="8"/>
  <c r="H186" i="8" s="1"/>
  <c r="I296" i="8"/>
  <c r="H331" i="8"/>
  <c r="K274" i="8"/>
  <c r="Q14" i="9"/>
  <c r="S15" i="9" s="1"/>
  <c r="I331" i="8"/>
  <c r="H156" i="8"/>
  <c r="H185" i="8" s="1"/>
  <c r="P12" i="9"/>
  <c r="H330" i="8"/>
  <c r="H332" i="8" s="1"/>
  <c r="H130" i="8"/>
  <c r="K273" i="8"/>
  <c r="C398" i="8"/>
  <c r="I315" i="8"/>
  <c r="H379" i="8"/>
  <c r="K10" i="12" s="1"/>
  <c r="L274" i="8"/>
  <c r="J296" i="8"/>
  <c r="I157" i="8"/>
  <c r="I186" i="8" s="1"/>
  <c r="I131" i="8"/>
  <c r="H33" i="4"/>
  <c r="J33" i="4" s="1"/>
  <c r="I32" i="4"/>
  <c r="K32" i="4" s="1"/>
  <c r="B32" i="4"/>
  <c r="D31" i="4"/>
  <c r="C31" i="4"/>
  <c r="G355" i="8" l="1"/>
  <c r="G160" i="8"/>
  <c r="R15" i="9"/>
  <c r="R43" i="9" s="1"/>
  <c r="O139" i="9"/>
  <c r="O282" i="9" s="1"/>
  <c r="O287" i="9" s="1"/>
  <c r="O22" i="9"/>
  <c r="L246" i="9"/>
  <c r="N282" i="9"/>
  <c r="L119" i="9"/>
  <c r="L57" i="9"/>
  <c r="Q48" i="9"/>
  <c r="Q38" i="9"/>
  <c r="Q56" i="9"/>
  <c r="Q37" i="9"/>
  <c r="Q45" i="9"/>
  <c r="Q52" i="9"/>
  <c r="Q41" i="9"/>
  <c r="P36" i="9"/>
  <c r="P249" i="9" s="1"/>
  <c r="Q40" i="9"/>
  <c r="Q43" i="9"/>
  <c r="Q49" i="9"/>
  <c r="Q44" i="9"/>
  <c r="Q54" i="9"/>
  <c r="Q42" i="9"/>
  <c r="Q39" i="9"/>
  <c r="Q47" i="9"/>
  <c r="Q53" i="9"/>
  <c r="Q55" i="9"/>
  <c r="Q50" i="9"/>
  <c r="Q51" i="9"/>
  <c r="L124" i="9"/>
  <c r="M23" i="9"/>
  <c r="M35" i="9" s="1"/>
  <c r="L123" i="9"/>
  <c r="O140" i="9"/>
  <c r="G333" i="8"/>
  <c r="M124" i="9"/>
  <c r="M123" i="9"/>
  <c r="N141" i="9"/>
  <c r="L65" i="9"/>
  <c r="L64" i="9"/>
  <c r="N29" i="9"/>
  <c r="N124" i="9" s="1"/>
  <c r="L61" i="9"/>
  <c r="L79" i="9"/>
  <c r="M27" i="9"/>
  <c r="N27" i="9" s="1"/>
  <c r="M25" i="9"/>
  <c r="S43" i="9"/>
  <c r="S49" i="9"/>
  <c r="S37" i="9"/>
  <c r="S40" i="9"/>
  <c r="S51" i="9"/>
  <c r="S47" i="9"/>
  <c r="S39" i="9"/>
  <c r="S45" i="9"/>
  <c r="S38" i="9"/>
  <c r="S52" i="9"/>
  <c r="S50" i="9"/>
  <c r="S53" i="9"/>
  <c r="S48" i="9"/>
  <c r="S41" i="9"/>
  <c r="S44" i="9"/>
  <c r="S55" i="9"/>
  <c r="S46" i="9"/>
  <c r="S56" i="9"/>
  <c r="S42" i="9"/>
  <c r="S54" i="9"/>
  <c r="R40" i="9"/>
  <c r="O28" i="9"/>
  <c r="O26" i="9"/>
  <c r="O24" i="9"/>
  <c r="G353" i="8"/>
  <c r="G347" i="8" s="1"/>
  <c r="P13" i="9"/>
  <c r="H160" i="8" s="1"/>
  <c r="P17" i="9"/>
  <c r="Q18" i="9"/>
  <c r="I158" i="8" s="1"/>
  <c r="G354" i="8"/>
  <c r="G348" i="8" s="1"/>
  <c r="O125" i="9" s="1"/>
  <c r="G356" i="8"/>
  <c r="G350" i="8" s="1"/>
  <c r="G349" i="8"/>
  <c r="F347" i="8"/>
  <c r="F352" i="8"/>
  <c r="H341" i="8"/>
  <c r="H343" i="8"/>
  <c r="H342" i="8"/>
  <c r="H344" i="8"/>
  <c r="H338" i="8"/>
  <c r="H336" i="8"/>
  <c r="H335" i="8"/>
  <c r="H337" i="8"/>
  <c r="I335" i="8"/>
  <c r="I337" i="8"/>
  <c r="I336" i="8"/>
  <c r="I338" i="8"/>
  <c r="U54" i="8"/>
  <c r="J241" i="8" s="1"/>
  <c r="M272" i="8"/>
  <c r="R11" i="9"/>
  <c r="V53" i="8"/>
  <c r="K329" i="8" s="1"/>
  <c r="K294" i="8"/>
  <c r="J155" i="8"/>
  <c r="J184" i="8" s="1"/>
  <c r="U55" i="8"/>
  <c r="J242" i="8" s="1"/>
  <c r="I156" i="8"/>
  <c r="I185" i="8" s="1"/>
  <c r="I330" i="8"/>
  <c r="I332" i="8" s="1"/>
  <c r="Q12" i="9"/>
  <c r="Q17" i="9" s="1"/>
  <c r="I130" i="8"/>
  <c r="J295" i="8"/>
  <c r="L273" i="8"/>
  <c r="J329" i="8"/>
  <c r="J240" i="8"/>
  <c r="J315" i="8"/>
  <c r="I379" i="8"/>
  <c r="L10" i="12" s="1"/>
  <c r="E31" i="4"/>
  <c r="D32" i="4"/>
  <c r="C32" i="4"/>
  <c r="H34" i="4"/>
  <c r="J34" i="4" s="1"/>
  <c r="I33" i="4"/>
  <c r="K33" i="4" s="1"/>
  <c r="B33" i="4"/>
  <c r="R42" i="9" l="1"/>
  <c r="R55" i="9"/>
  <c r="R51" i="9"/>
  <c r="R54" i="9"/>
  <c r="R53" i="9"/>
  <c r="R50" i="9"/>
  <c r="R47" i="9"/>
  <c r="R37" i="9"/>
  <c r="R49" i="9"/>
  <c r="R48" i="9"/>
  <c r="R39" i="9"/>
  <c r="R44" i="9"/>
  <c r="R46" i="9"/>
  <c r="R41" i="9"/>
  <c r="R38" i="9"/>
  <c r="R52" i="9"/>
  <c r="R45" i="9"/>
  <c r="R56" i="9"/>
  <c r="O141" i="9"/>
  <c r="E32" i="4"/>
  <c r="M247" i="9"/>
  <c r="M166" i="9"/>
  <c r="M174" i="9"/>
  <c r="N174" i="9"/>
  <c r="Q139" i="9"/>
  <c r="Q282" i="9" s="1"/>
  <c r="Q287" i="9" s="1"/>
  <c r="P139" i="9"/>
  <c r="P282" i="9" s="1"/>
  <c r="P287" i="9" s="1"/>
  <c r="N287" i="9"/>
  <c r="M246" i="9"/>
  <c r="P22" i="9"/>
  <c r="L250" i="9"/>
  <c r="P94" i="9"/>
  <c r="M119" i="9"/>
  <c r="L75" i="9"/>
  <c r="L74" i="9" s="1"/>
  <c r="L254" i="9" s="1"/>
  <c r="M75" i="9"/>
  <c r="M74" i="9" s="1"/>
  <c r="M254" i="9" s="1"/>
  <c r="M85" i="9"/>
  <c r="M86" i="9"/>
  <c r="M57" i="9"/>
  <c r="M84" i="9"/>
  <c r="Q36" i="9"/>
  <c r="Q249" i="9" s="1"/>
  <c r="N123" i="9"/>
  <c r="N75" i="9" s="1"/>
  <c r="N74" i="9" s="1"/>
  <c r="N254" i="9" s="1"/>
  <c r="N23" i="9"/>
  <c r="N35" i="9" s="1"/>
  <c r="H333" i="8"/>
  <c r="I333" i="8"/>
  <c r="P140" i="9"/>
  <c r="O29" i="9"/>
  <c r="O123" i="9" s="1"/>
  <c r="O75" i="9" s="1"/>
  <c r="O74" i="9" s="1"/>
  <c r="O254" i="9" s="1"/>
  <c r="N64" i="9"/>
  <c r="N65" i="9"/>
  <c r="M61" i="9"/>
  <c r="M79" i="9"/>
  <c r="N25" i="9"/>
  <c r="O27" i="9"/>
  <c r="O64" i="9" s="1"/>
  <c r="M64" i="9"/>
  <c r="M65" i="9"/>
  <c r="Q140" i="9"/>
  <c r="S36" i="9"/>
  <c r="P28" i="9"/>
  <c r="P24" i="9"/>
  <c r="P26" i="9"/>
  <c r="Q13" i="9"/>
  <c r="I160" i="8" s="1"/>
  <c r="R18" i="9"/>
  <c r="J158" i="8" s="1"/>
  <c r="J130" i="8"/>
  <c r="H356" i="8"/>
  <c r="H350" i="8" s="1"/>
  <c r="H354" i="8"/>
  <c r="H355" i="8"/>
  <c r="H349" i="8" s="1"/>
  <c r="H353" i="8"/>
  <c r="H347" i="8" s="1"/>
  <c r="G352" i="8"/>
  <c r="I342" i="8"/>
  <c r="I354" i="8" s="1"/>
  <c r="I344" i="8"/>
  <c r="I356" i="8" s="1"/>
  <c r="I350" i="8" s="1"/>
  <c r="I341" i="8"/>
  <c r="I343" i="8"/>
  <c r="I355" i="8" s="1"/>
  <c r="I349" i="8" s="1"/>
  <c r="J330" i="8"/>
  <c r="J332" i="8" s="1"/>
  <c r="R12" i="9"/>
  <c r="J156" i="8"/>
  <c r="J185" i="8" s="1"/>
  <c r="K295" i="8"/>
  <c r="M273" i="8"/>
  <c r="K129" i="8"/>
  <c r="N272" i="8"/>
  <c r="V55" i="8"/>
  <c r="K242" i="8" s="1"/>
  <c r="K155" i="8"/>
  <c r="K184" i="8" s="1"/>
  <c r="S11" i="9"/>
  <c r="L294" i="8"/>
  <c r="W53" i="8"/>
  <c r="T11" i="9" s="1"/>
  <c r="K240" i="8"/>
  <c r="V54" i="8"/>
  <c r="K241" i="8" s="1"/>
  <c r="K296" i="8"/>
  <c r="J131" i="8"/>
  <c r="M274" i="8"/>
  <c r="J157" i="8"/>
  <c r="J186" i="8" s="1"/>
  <c r="J331" i="8"/>
  <c r="R14" i="9"/>
  <c r="K315" i="8"/>
  <c r="K379" i="8" s="1"/>
  <c r="N10" i="12" s="1"/>
  <c r="J379" i="8"/>
  <c r="M10" i="12" s="1"/>
  <c r="D33" i="4"/>
  <c r="C33" i="4"/>
  <c r="H35" i="4"/>
  <c r="J35" i="4" s="1"/>
  <c r="I34" i="4"/>
  <c r="K34" i="4" s="1"/>
  <c r="B34" i="4"/>
  <c r="R36" i="9" l="1"/>
  <c r="R249" i="9" s="1"/>
  <c r="T15" i="9"/>
  <c r="T46" i="9" s="1"/>
  <c r="E33" i="4"/>
  <c r="M176" i="9"/>
  <c r="M236" i="9" s="1"/>
  <c r="M237" i="9" s="1"/>
  <c r="N235" i="9" s="1"/>
  <c r="N247" i="9"/>
  <c r="N166" i="9"/>
  <c r="N176" i="9" s="1"/>
  <c r="N236" i="9" s="1"/>
  <c r="O174" i="9"/>
  <c r="M250" i="9"/>
  <c r="Q22" i="9"/>
  <c r="N119" i="9"/>
  <c r="N246" i="9"/>
  <c r="S94" i="9"/>
  <c r="S249" i="9"/>
  <c r="Q94" i="9"/>
  <c r="N85" i="9"/>
  <c r="N86" i="9"/>
  <c r="N57" i="9"/>
  <c r="N84" i="9"/>
  <c r="O124" i="9"/>
  <c r="P27" i="9"/>
  <c r="P64" i="9" s="1"/>
  <c r="P29" i="9"/>
  <c r="P124" i="9" s="1"/>
  <c r="O23" i="9"/>
  <c r="O35" i="9" s="1"/>
  <c r="I353" i="8"/>
  <c r="I347" i="8" s="1"/>
  <c r="Q141" i="9"/>
  <c r="O65" i="9"/>
  <c r="N61" i="9"/>
  <c r="N79" i="9"/>
  <c r="O25" i="9"/>
  <c r="P141" i="9"/>
  <c r="T45" i="9"/>
  <c r="T43" i="9"/>
  <c r="Q24" i="9"/>
  <c r="Q28" i="9"/>
  <c r="Q26" i="9"/>
  <c r="R13" i="9"/>
  <c r="J160" i="8" s="1"/>
  <c r="R17" i="9"/>
  <c r="S18" i="9"/>
  <c r="K158" i="8" s="1"/>
  <c r="T18" i="9"/>
  <c r="L158" i="8" s="1"/>
  <c r="I348" i="8"/>
  <c r="Q125" i="9" s="1"/>
  <c r="H352" i="8"/>
  <c r="H348" i="8"/>
  <c r="P125" i="9" s="1"/>
  <c r="J341" i="8"/>
  <c r="J342" i="8"/>
  <c r="J344" i="8"/>
  <c r="J343" i="8"/>
  <c r="J335" i="8"/>
  <c r="J338" i="8"/>
  <c r="J336" i="8"/>
  <c r="J337" i="8"/>
  <c r="L155" i="8"/>
  <c r="L184" i="8" s="1"/>
  <c r="O272" i="8"/>
  <c r="L240" i="8"/>
  <c r="S12" i="9"/>
  <c r="W55" i="8"/>
  <c r="L242" i="8" s="1"/>
  <c r="L296" i="8"/>
  <c r="K130" i="8"/>
  <c r="N274" i="8"/>
  <c r="M294" i="8"/>
  <c r="L129" i="8"/>
  <c r="K156" i="8"/>
  <c r="K185" i="8" s="1"/>
  <c r="K131" i="8"/>
  <c r="K157" i="8"/>
  <c r="K186" i="8" s="1"/>
  <c r="K331" i="8"/>
  <c r="W54" i="8"/>
  <c r="L241" i="8" s="1"/>
  <c r="N273" i="8"/>
  <c r="S14" i="9"/>
  <c r="U15" i="9" s="1"/>
  <c r="K330" i="8"/>
  <c r="K332" i="8" s="1"/>
  <c r="L329" i="8"/>
  <c r="X53" i="8"/>
  <c r="Y53" i="8" s="1"/>
  <c r="L295" i="8"/>
  <c r="D34" i="4"/>
  <c r="C34" i="4"/>
  <c r="H36" i="4"/>
  <c r="J36" i="4" s="1"/>
  <c r="I35" i="4"/>
  <c r="K35" i="4" s="1"/>
  <c r="B35" i="4"/>
  <c r="T44" i="9" l="1"/>
  <c r="R94" i="9"/>
  <c r="T41" i="9"/>
  <c r="T50" i="9"/>
  <c r="T42" i="9"/>
  <c r="T37" i="9"/>
  <c r="T38" i="9"/>
  <c r="T54" i="9"/>
  <c r="T55" i="9"/>
  <c r="T51" i="9"/>
  <c r="T56" i="9"/>
  <c r="T48" i="9"/>
  <c r="T40" i="9"/>
  <c r="T47" i="9"/>
  <c r="T49" i="9"/>
  <c r="T52" i="9"/>
  <c r="T39" i="9"/>
  <c r="T53" i="9"/>
  <c r="N237" i="9"/>
  <c r="O235" i="9" s="1"/>
  <c r="I352" i="8"/>
  <c r="O247" i="9"/>
  <c r="O166" i="9"/>
  <c r="O176" i="9" s="1"/>
  <c r="O236" i="9" s="1"/>
  <c r="E34" i="4"/>
  <c r="P174" i="9"/>
  <c r="R139" i="9"/>
  <c r="R282" i="9" s="1"/>
  <c r="R287" i="9" s="1"/>
  <c r="R22" i="9"/>
  <c r="Q29" i="9"/>
  <c r="Q123" i="9" s="1"/>
  <c r="Q75" i="9" s="1"/>
  <c r="Q74" i="9" s="1"/>
  <c r="Q254" i="9" s="1"/>
  <c r="N250" i="9"/>
  <c r="O119" i="9"/>
  <c r="O246" i="9"/>
  <c r="O85" i="9"/>
  <c r="O86" i="9"/>
  <c r="O57" i="9"/>
  <c r="O84" i="9"/>
  <c r="P123" i="9"/>
  <c r="P65" i="9"/>
  <c r="Q27" i="9"/>
  <c r="Q64" i="9" s="1"/>
  <c r="P23" i="9"/>
  <c r="P35" i="9" s="1"/>
  <c r="J333" i="8"/>
  <c r="R140" i="9"/>
  <c r="O61" i="9"/>
  <c r="O79" i="9"/>
  <c r="P25" i="9"/>
  <c r="Q25" i="9" s="1"/>
  <c r="Q61" i="9" s="1"/>
  <c r="U42" i="9"/>
  <c r="U54" i="9"/>
  <c r="U48" i="9"/>
  <c r="U43" i="9"/>
  <c r="U49" i="9"/>
  <c r="U50" i="9"/>
  <c r="U46" i="9"/>
  <c r="U53" i="9"/>
  <c r="U41" i="9"/>
  <c r="U39" i="9"/>
  <c r="U40" i="9"/>
  <c r="U37" i="9"/>
  <c r="U55" i="9"/>
  <c r="U52" i="9"/>
  <c r="U38" i="9"/>
  <c r="U47" i="9"/>
  <c r="U45" i="9"/>
  <c r="U56" i="9"/>
  <c r="U51" i="9"/>
  <c r="U44" i="9"/>
  <c r="R28" i="9"/>
  <c r="R26" i="9"/>
  <c r="R24" i="9"/>
  <c r="S13" i="9"/>
  <c r="K160" i="8" s="1"/>
  <c r="S17" i="9"/>
  <c r="J355" i="8"/>
  <c r="J349" i="8" s="1"/>
  <c r="J356" i="8"/>
  <c r="J350" i="8" s="1"/>
  <c r="J354" i="8"/>
  <c r="J348" i="8" s="1"/>
  <c r="R125" i="9" s="1"/>
  <c r="J353" i="8"/>
  <c r="K342" i="8"/>
  <c r="K341" i="8"/>
  <c r="K344" i="8"/>
  <c r="K343" i="8"/>
  <c r="K337" i="8"/>
  <c r="K338" i="8"/>
  <c r="K336" i="8"/>
  <c r="K335" i="8"/>
  <c r="T12" i="9"/>
  <c r="L156" i="8"/>
  <c r="L185" i="8" s="1"/>
  <c r="L131" i="8"/>
  <c r="L157" i="8"/>
  <c r="L186" i="8" s="1"/>
  <c r="M295" i="8"/>
  <c r="O273" i="8"/>
  <c r="T14" i="9"/>
  <c r="V15" i="9" s="1"/>
  <c r="L330" i="8"/>
  <c r="L332" i="8" s="1"/>
  <c r="M296" i="8"/>
  <c r="O274" i="8"/>
  <c r="L130" i="8"/>
  <c r="L331" i="8"/>
  <c r="M129" i="8"/>
  <c r="M240" i="8"/>
  <c r="M329" i="8"/>
  <c r="X55" i="8"/>
  <c r="M242" i="8" s="1"/>
  <c r="U11" i="9"/>
  <c r="X54" i="8"/>
  <c r="M241" i="8" s="1"/>
  <c r="M155" i="8"/>
  <c r="M184" i="8" s="1"/>
  <c r="N294" i="8"/>
  <c r="P272" i="8"/>
  <c r="N329" i="8"/>
  <c r="N240" i="8"/>
  <c r="V11" i="9"/>
  <c r="Q272" i="8"/>
  <c r="O294" i="8"/>
  <c r="Y55" i="8"/>
  <c r="N242" i="8" s="1"/>
  <c r="N129" i="8"/>
  <c r="N155" i="8"/>
  <c r="N184" i="8" s="1"/>
  <c r="Z53" i="8"/>
  <c r="Y54" i="8"/>
  <c r="N241" i="8" s="1"/>
  <c r="H37" i="4"/>
  <c r="J37" i="4" s="1"/>
  <c r="I36" i="4"/>
  <c r="K36" i="4" s="1"/>
  <c r="B36" i="4"/>
  <c r="D35" i="4"/>
  <c r="C35" i="4"/>
  <c r="O237" i="9" l="1"/>
  <c r="P235" i="9" s="1"/>
  <c r="T36" i="9"/>
  <c r="T249" i="9" s="1"/>
  <c r="O250" i="9"/>
  <c r="P247" i="9"/>
  <c r="P166" i="9"/>
  <c r="P176" i="9" s="1"/>
  <c r="P236" i="9" s="1"/>
  <c r="Q174" i="9"/>
  <c r="S139" i="9"/>
  <c r="S282" i="9" s="1"/>
  <c r="S287" i="9" s="1"/>
  <c r="S22" i="9"/>
  <c r="Q124" i="9"/>
  <c r="R29" i="9"/>
  <c r="R123" i="9" s="1"/>
  <c r="R75" i="9" s="1"/>
  <c r="P119" i="9"/>
  <c r="P246" i="9"/>
  <c r="P75" i="9"/>
  <c r="P74" i="9" s="1"/>
  <c r="P254" i="9" s="1"/>
  <c r="P85" i="9"/>
  <c r="P57" i="9"/>
  <c r="P84" i="9"/>
  <c r="R27" i="9"/>
  <c r="R64" i="9" s="1"/>
  <c r="Q65" i="9"/>
  <c r="Q23" i="9"/>
  <c r="Q35" i="9" s="1"/>
  <c r="K333" i="8"/>
  <c r="R25" i="9"/>
  <c r="R61" i="9" s="1"/>
  <c r="Q79" i="9"/>
  <c r="R141" i="9"/>
  <c r="P61" i="9"/>
  <c r="P79" i="9"/>
  <c r="S140" i="9"/>
  <c r="V56" i="9"/>
  <c r="V55" i="9"/>
  <c r="V48" i="9"/>
  <c r="V54" i="9"/>
  <c r="V42" i="9"/>
  <c r="V45" i="9"/>
  <c r="V51" i="9"/>
  <c r="V47" i="9"/>
  <c r="V37" i="9"/>
  <c r="V43" i="9"/>
  <c r="V53" i="9"/>
  <c r="V41" i="9"/>
  <c r="V39" i="9"/>
  <c r="V52" i="9"/>
  <c r="V49" i="9"/>
  <c r="V50" i="9"/>
  <c r="V38" i="9"/>
  <c r="V46" i="9"/>
  <c r="V40" i="9"/>
  <c r="V44" i="9"/>
  <c r="U36" i="9"/>
  <c r="U249" i="9" s="1"/>
  <c r="S24" i="9"/>
  <c r="S26" i="9"/>
  <c r="S28" i="9"/>
  <c r="T13" i="9"/>
  <c r="L160" i="8" s="1"/>
  <c r="T17" i="9"/>
  <c r="U18" i="9"/>
  <c r="M158" i="8" s="1"/>
  <c r="V18" i="9"/>
  <c r="N158" i="8" s="1"/>
  <c r="K354" i="8"/>
  <c r="K348" i="8" s="1"/>
  <c r="S125" i="9" s="1"/>
  <c r="K356" i="8"/>
  <c r="K350" i="8" s="1"/>
  <c r="K353" i="8"/>
  <c r="K347" i="8" s="1"/>
  <c r="K355" i="8"/>
  <c r="K349" i="8" s="1"/>
  <c r="J352" i="8"/>
  <c r="J347" i="8"/>
  <c r="L344" i="8"/>
  <c r="L342" i="8"/>
  <c r="L341" i="8"/>
  <c r="L343" i="8"/>
  <c r="L336" i="8"/>
  <c r="L337" i="8"/>
  <c r="L338" i="8"/>
  <c r="L335" i="8"/>
  <c r="M131" i="8"/>
  <c r="M157" i="8"/>
  <c r="M186" i="8" s="1"/>
  <c r="M330" i="8"/>
  <c r="M332" i="8" s="1"/>
  <c r="U12" i="9"/>
  <c r="M331" i="8"/>
  <c r="U14" i="9"/>
  <c r="W15" i="9" s="1"/>
  <c r="P274" i="8"/>
  <c r="N296" i="8"/>
  <c r="M130" i="8"/>
  <c r="N295" i="8"/>
  <c r="M156" i="8"/>
  <c r="M185" i="8" s="1"/>
  <c r="P273" i="8"/>
  <c r="O329" i="8"/>
  <c r="O240" i="8"/>
  <c r="V12" i="9"/>
  <c r="N330" i="8"/>
  <c r="N332" i="8" s="1"/>
  <c r="V14" i="9"/>
  <c r="X15" i="9" s="1"/>
  <c r="N331" i="8"/>
  <c r="W11" i="9"/>
  <c r="Q273" i="8"/>
  <c r="O295" i="8"/>
  <c r="Q274" i="8"/>
  <c r="O296" i="8"/>
  <c r="R272" i="8"/>
  <c r="P294" i="8"/>
  <c r="E35" i="4"/>
  <c r="N156" i="8"/>
  <c r="N185" i="8" s="1"/>
  <c r="N130" i="8"/>
  <c r="N157" i="8"/>
  <c r="N186" i="8" s="1"/>
  <c r="N131" i="8"/>
  <c r="Z55" i="8"/>
  <c r="O242" i="8" s="1"/>
  <c r="O129" i="8"/>
  <c r="O155" i="8"/>
  <c r="O184" i="8" s="1"/>
  <c r="AA53" i="8"/>
  <c r="Z54" i="8"/>
  <c r="O241" i="8" s="1"/>
  <c r="D36" i="4"/>
  <c r="C36" i="4"/>
  <c r="H38" i="4"/>
  <c r="J38" i="4" s="1"/>
  <c r="I37" i="4"/>
  <c r="K37" i="4" s="1"/>
  <c r="B37" i="4"/>
  <c r="R74" i="9" l="1"/>
  <c r="R254" i="9" s="1"/>
  <c r="T94" i="9"/>
  <c r="P237" i="9"/>
  <c r="Q235" i="9" s="1"/>
  <c r="Q247" i="9"/>
  <c r="Q166" i="9"/>
  <c r="Q176" i="9" s="1"/>
  <c r="Q236" i="9" s="1"/>
  <c r="P250" i="9"/>
  <c r="R174" i="9"/>
  <c r="S141" i="9"/>
  <c r="T139" i="9"/>
  <c r="T282" i="9" s="1"/>
  <c r="T287" i="9" s="1"/>
  <c r="T22" i="9"/>
  <c r="S29" i="9"/>
  <c r="S123" i="9" s="1"/>
  <c r="S75" i="9" s="1"/>
  <c r="S74" i="9" s="1"/>
  <c r="S254" i="9" s="1"/>
  <c r="R124" i="9"/>
  <c r="Q119" i="9"/>
  <c r="Q246" i="9"/>
  <c r="U94" i="9"/>
  <c r="Q85" i="9"/>
  <c r="Q86" i="9"/>
  <c r="Q57" i="9"/>
  <c r="Q84" i="9"/>
  <c r="R65" i="9"/>
  <c r="S27" i="9"/>
  <c r="S64" i="9" s="1"/>
  <c r="R23" i="9"/>
  <c r="R35" i="9" s="1"/>
  <c r="S25" i="9"/>
  <c r="S61" i="9" s="1"/>
  <c r="R79" i="9"/>
  <c r="L333" i="8"/>
  <c r="T140" i="9"/>
  <c r="X38" i="9"/>
  <c r="X42" i="9"/>
  <c r="X44" i="9"/>
  <c r="X50" i="9"/>
  <c r="X45" i="9"/>
  <c r="X48" i="9"/>
  <c r="X56" i="9"/>
  <c r="X37" i="9"/>
  <c r="X51" i="9"/>
  <c r="X54" i="9"/>
  <c r="X55" i="9"/>
  <c r="X47" i="9"/>
  <c r="X46" i="9"/>
  <c r="X39" i="9"/>
  <c r="X40" i="9"/>
  <c r="X49" i="9"/>
  <c r="X53" i="9"/>
  <c r="X41" i="9"/>
  <c r="X52" i="9"/>
  <c r="X43" i="9"/>
  <c r="V36" i="9"/>
  <c r="W56" i="9"/>
  <c r="W55" i="9"/>
  <c r="W39" i="9"/>
  <c r="W48" i="9"/>
  <c r="W47" i="9"/>
  <c r="W42" i="9"/>
  <c r="W38" i="9"/>
  <c r="W45" i="9"/>
  <c r="W53" i="9"/>
  <c r="W41" i="9"/>
  <c r="W52" i="9"/>
  <c r="W54" i="9"/>
  <c r="W43" i="9"/>
  <c r="W44" i="9"/>
  <c r="W46" i="9"/>
  <c r="W37" i="9"/>
  <c r="W49" i="9"/>
  <c r="W40" i="9"/>
  <c r="W51" i="9"/>
  <c r="W50" i="9"/>
  <c r="T28" i="9"/>
  <c r="T26" i="9"/>
  <c r="T24" i="9"/>
  <c r="U13" i="9"/>
  <c r="M160" i="8" s="1"/>
  <c r="U17" i="9"/>
  <c r="V13" i="9"/>
  <c r="V17" i="9"/>
  <c r="W18" i="9"/>
  <c r="O158" i="8" s="1"/>
  <c r="L353" i="8"/>
  <c r="L347" i="8" s="1"/>
  <c r="L355" i="8"/>
  <c r="L354" i="8"/>
  <c r="L348" i="8" s="1"/>
  <c r="T125" i="9" s="1"/>
  <c r="L356" i="8"/>
  <c r="L350" i="8" s="1"/>
  <c r="K352" i="8"/>
  <c r="M342" i="8"/>
  <c r="M341" i="8"/>
  <c r="M344" i="8"/>
  <c r="M343" i="8"/>
  <c r="N342" i="8"/>
  <c r="N343" i="8"/>
  <c r="N341" i="8"/>
  <c r="N344" i="8"/>
  <c r="N338" i="8"/>
  <c r="N335" i="8"/>
  <c r="N337" i="8"/>
  <c r="N336" i="8"/>
  <c r="M335" i="8"/>
  <c r="M336" i="8"/>
  <c r="M338" i="8"/>
  <c r="M337" i="8"/>
  <c r="P329" i="8"/>
  <c r="P240" i="8"/>
  <c r="W12" i="9"/>
  <c r="O330" i="8"/>
  <c r="O332" i="8" s="1"/>
  <c r="W14" i="9"/>
  <c r="O331" i="8"/>
  <c r="X11" i="9"/>
  <c r="R274" i="8"/>
  <c r="P296" i="8"/>
  <c r="S272" i="8"/>
  <c r="Q294" i="8"/>
  <c r="R273" i="8"/>
  <c r="P295" i="8"/>
  <c r="E36" i="4"/>
  <c r="O156" i="8"/>
  <c r="O185" i="8" s="1"/>
  <c r="O130" i="8"/>
  <c r="O131" i="8"/>
  <c r="O157" i="8"/>
  <c r="O186" i="8" s="1"/>
  <c r="AA55" i="8"/>
  <c r="P242" i="8" s="1"/>
  <c r="P155" i="8"/>
  <c r="P184" i="8" s="1"/>
  <c r="P129" i="8"/>
  <c r="AA54" i="8"/>
  <c r="P241" i="8" s="1"/>
  <c r="AB53" i="8"/>
  <c r="D37" i="4"/>
  <c r="C37" i="4"/>
  <c r="H39" i="4"/>
  <c r="J39" i="4" s="1"/>
  <c r="I38" i="4"/>
  <c r="K38" i="4" s="1"/>
  <c r="B38" i="4"/>
  <c r="Q237" i="9" l="1"/>
  <c r="R235" i="9" s="1"/>
  <c r="Y15" i="9"/>
  <c r="Y38" i="9" s="1"/>
  <c r="R247" i="9"/>
  <c r="R166" i="9"/>
  <c r="R176" i="9" s="1"/>
  <c r="R236" i="9" s="1"/>
  <c r="S174" i="9"/>
  <c r="V22" i="9"/>
  <c r="N160" i="8"/>
  <c r="T29" i="9"/>
  <c r="T123" i="9" s="1"/>
  <c r="V139" i="9"/>
  <c r="V282" i="9" s="1"/>
  <c r="V287" i="9" s="1"/>
  <c r="U139" i="9"/>
  <c r="U282" i="9" s="1"/>
  <c r="Q250" i="9"/>
  <c r="S124" i="9"/>
  <c r="U22" i="9"/>
  <c r="V94" i="9"/>
  <c r="V249" i="9"/>
  <c r="R119" i="9"/>
  <c r="R246" i="9"/>
  <c r="T27" i="9"/>
  <c r="T64" i="9" s="1"/>
  <c r="S65" i="9"/>
  <c r="R85" i="9"/>
  <c r="R86" i="9"/>
  <c r="R57" i="9"/>
  <c r="R84" i="9"/>
  <c r="T25" i="9"/>
  <c r="T61" i="9" s="1"/>
  <c r="S79" i="9"/>
  <c r="S23" i="9"/>
  <c r="S35" i="9" s="1"/>
  <c r="U140" i="9"/>
  <c r="M333" i="8"/>
  <c r="N333" i="8"/>
  <c r="M354" i="8"/>
  <c r="M348" i="8" s="1"/>
  <c r="U125" i="9" s="1"/>
  <c r="V140" i="9"/>
  <c r="T141" i="9"/>
  <c r="X36" i="9"/>
  <c r="Y44" i="9"/>
  <c r="Y37" i="9"/>
  <c r="Y39" i="9"/>
  <c r="Y52" i="9"/>
  <c r="Y41" i="9"/>
  <c r="W36" i="9"/>
  <c r="V26" i="9"/>
  <c r="V28" i="9"/>
  <c r="V24" i="9"/>
  <c r="U28" i="9"/>
  <c r="U26" i="9"/>
  <c r="U24" i="9"/>
  <c r="M356" i="8"/>
  <c r="M350" i="8" s="1"/>
  <c r="W13" i="9"/>
  <c r="W17" i="9"/>
  <c r="X18" i="9"/>
  <c r="P158" i="8" s="1"/>
  <c r="M353" i="8"/>
  <c r="M347" i="8" s="1"/>
  <c r="N354" i="8"/>
  <c r="N348" i="8" s="1"/>
  <c r="V125" i="9" s="1"/>
  <c r="M355" i="8"/>
  <c r="M349" i="8" s="1"/>
  <c r="N355" i="8"/>
  <c r="N349" i="8" s="1"/>
  <c r="N356" i="8"/>
  <c r="N350" i="8" s="1"/>
  <c r="L352" i="8"/>
  <c r="L349" i="8"/>
  <c r="N353" i="8"/>
  <c r="O342" i="8"/>
  <c r="O341" i="8"/>
  <c r="O344" i="8"/>
  <c r="O343" i="8"/>
  <c r="O338" i="8"/>
  <c r="O335" i="8"/>
  <c r="O337" i="8"/>
  <c r="O336" i="8"/>
  <c r="Q329" i="8"/>
  <c r="Q240" i="8"/>
  <c r="X12" i="9"/>
  <c r="P330" i="8"/>
  <c r="P332" i="8" s="1"/>
  <c r="X14" i="9"/>
  <c r="Z15" i="9" s="1"/>
  <c r="P331" i="8"/>
  <c r="Y11" i="9"/>
  <c r="S273" i="8"/>
  <c r="Q295" i="8"/>
  <c r="T272" i="8"/>
  <c r="R294" i="8"/>
  <c r="S274" i="8"/>
  <c r="Q296" i="8"/>
  <c r="AB55" i="8"/>
  <c r="Q242" i="8" s="1"/>
  <c r="Q155" i="8"/>
  <c r="Q184" i="8" s="1"/>
  <c r="Q129" i="8"/>
  <c r="P156" i="8"/>
  <c r="P185" i="8" s="1"/>
  <c r="P130" i="8"/>
  <c r="P131" i="8"/>
  <c r="P157" i="8"/>
  <c r="P186" i="8" s="1"/>
  <c r="AB54" i="8"/>
  <c r="Q241" i="8" s="1"/>
  <c r="AC53" i="8"/>
  <c r="E37" i="4"/>
  <c r="D38" i="4"/>
  <c r="C38" i="4"/>
  <c r="H40" i="4"/>
  <c r="J40" i="4" s="1"/>
  <c r="I39" i="4"/>
  <c r="K39" i="4" s="1"/>
  <c r="B39" i="4"/>
  <c r="Y45" i="9" l="1"/>
  <c r="R237" i="9"/>
  <c r="S235" i="9" s="1"/>
  <c r="Y42" i="9"/>
  <c r="Y49" i="9"/>
  <c r="Y43" i="9"/>
  <c r="Y54" i="9"/>
  <c r="Y50" i="9"/>
  <c r="Y48" i="9"/>
  <c r="Y40" i="9"/>
  <c r="Y46" i="9"/>
  <c r="Y56" i="9"/>
  <c r="Y47" i="9"/>
  <c r="Y53" i="9"/>
  <c r="Y51" i="9"/>
  <c r="Y55" i="9"/>
  <c r="T124" i="9"/>
  <c r="R250" i="9"/>
  <c r="S247" i="9"/>
  <c r="S166" i="9"/>
  <c r="S176" i="9" s="1"/>
  <c r="S236" i="9" s="1"/>
  <c r="T174" i="9"/>
  <c r="W22" i="9"/>
  <c r="O160" i="8"/>
  <c r="U29" i="9"/>
  <c r="U123" i="9" s="1"/>
  <c r="U75" i="9" s="1"/>
  <c r="U74" i="9" s="1"/>
  <c r="U254" i="9" s="1"/>
  <c r="W139" i="9"/>
  <c r="W282" i="9" s="1"/>
  <c r="W287" i="9" s="1"/>
  <c r="U27" i="9"/>
  <c r="U65" i="9" s="1"/>
  <c r="X94" i="9"/>
  <c r="X249" i="9"/>
  <c r="U287" i="9"/>
  <c r="W94" i="9"/>
  <c r="W249" i="9"/>
  <c r="S119" i="9"/>
  <c r="S246" i="9"/>
  <c r="T65" i="9"/>
  <c r="S85" i="9"/>
  <c r="S86" i="9"/>
  <c r="S57" i="9"/>
  <c r="S84" i="9"/>
  <c r="T79" i="9"/>
  <c r="U25" i="9"/>
  <c r="U79" i="9" s="1"/>
  <c r="T23" i="9"/>
  <c r="U141" i="9"/>
  <c r="O333" i="8"/>
  <c r="V141" i="9"/>
  <c r="W140" i="9"/>
  <c r="Z46" i="9"/>
  <c r="Z37" i="9"/>
  <c r="Z42" i="9"/>
  <c r="Z49" i="9"/>
  <c r="Z55" i="9"/>
  <c r="Z38" i="9"/>
  <c r="Z43" i="9"/>
  <c r="Z47" i="9"/>
  <c r="Z45" i="9"/>
  <c r="Z40" i="9"/>
  <c r="Z51" i="9"/>
  <c r="Z50" i="9"/>
  <c r="Z39" i="9"/>
  <c r="Z48" i="9"/>
  <c r="Z56" i="9"/>
  <c r="Z53" i="9"/>
  <c r="Z41" i="9"/>
  <c r="Z52" i="9"/>
  <c r="Z54" i="9"/>
  <c r="Z44" i="9"/>
  <c r="T75" i="9"/>
  <c r="T74" i="9" s="1"/>
  <c r="T254" i="9" s="1"/>
  <c r="W28" i="9"/>
  <c r="W26" i="9"/>
  <c r="W24" i="9"/>
  <c r="O356" i="8"/>
  <c r="O350" i="8" s="1"/>
  <c r="X13" i="9"/>
  <c r="X17" i="9"/>
  <c r="Y18" i="9"/>
  <c r="Q158" i="8" s="1"/>
  <c r="M352" i="8"/>
  <c r="O353" i="8"/>
  <c r="O347" i="8" s="1"/>
  <c r="O354" i="8"/>
  <c r="O348" i="8" s="1"/>
  <c r="W125" i="9" s="1"/>
  <c r="O355" i="8"/>
  <c r="O349" i="8" s="1"/>
  <c r="N347" i="8"/>
  <c r="N352" i="8"/>
  <c r="P344" i="8"/>
  <c r="P342" i="8"/>
  <c r="P341" i="8"/>
  <c r="P343" i="8"/>
  <c r="P335" i="8"/>
  <c r="P338" i="8"/>
  <c r="P336" i="8"/>
  <c r="P337" i="8"/>
  <c r="R329" i="8"/>
  <c r="R240" i="8"/>
  <c r="Y14" i="9"/>
  <c r="AA15" i="9" s="1"/>
  <c r="Q331" i="8"/>
  <c r="Y12" i="9"/>
  <c r="Q330" i="8"/>
  <c r="Q332" i="8" s="1"/>
  <c r="E38" i="4"/>
  <c r="Z11" i="9"/>
  <c r="U272" i="8"/>
  <c r="S294" i="8"/>
  <c r="T273" i="8"/>
  <c r="R295" i="8"/>
  <c r="T274" i="8"/>
  <c r="R296" i="8"/>
  <c r="AC55" i="8"/>
  <c r="R242" i="8" s="1"/>
  <c r="R155" i="8"/>
  <c r="R184" i="8" s="1"/>
  <c r="R129" i="8"/>
  <c r="Q156" i="8"/>
  <c r="Q185" i="8" s="1"/>
  <c r="Q130" i="8"/>
  <c r="Q131" i="8"/>
  <c r="Q157" i="8"/>
  <c r="Q186" i="8" s="1"/>
  <c r="AD53" i="8"/>
  <c r="AC54" i="8"/>
  <c r="R241" i="8" s="1"/>
  <c r="H41" i="4"/>
  <c r="J41" i="4" s="1"/>
  <c r="I40" i="4"/>
  <c r="K40" i="4" s="1"/>
  <c r="B40" i="4"/>
  <c r="D39" i="4"/>
  <c r="C39" i="4"/>
  <c r="S237" i="9" l="1"/>
  <c r="T235" i="9" s="1"/>
  <c r="Y36" i="9"/>
  <c r="Y249" i="9" s="1"/>
  <c r="S250" i="9"/>
  <c r="U124" i="9"/>
  <c r="T247" i="9"/>
  <c r="T166" i="9"/>
  <c r="T176" i="9" s="1"/>
  <c r="T236" i="9" s="1"/>
  <c r="E39" i="4"/>
  <c r="U174" i="9"/>
  <c r="V29" i="9"/>
  <c r="V123" i="9" s="1"/>
  <c r="X22" i="9"/>
  <c r="P160" i="8"/>
  <c r="U64" i="9"/>
  <c r="V27" i="9"/>
  <c r="V64" i="9" s="1"/>
  <c r="X139" i="9"/>
  <c r="X140" i="9"/>
  <c r="T35" i="9"/>
  <c r="T246" i="9" s="1"/>
  <c r="T250" i="9" s="1"/>
  <c r="U23" i="9"/>
  <c r="P355" i="8"/>
  <c r="P349" i="8" s="1"/>
  <c r="V25" i="9"/>
  <c r="W25" i="9" s="1"/>
  <c r="W61" i="9" s="1"/>
  <c r="T85" i="9"/>
  <c r="T86" i="9"/>
  <c r="T84" i="9"/>
  <c r="U61" i="9"/>
  <c r="W141" i="9"/>
  <c r="P333" i="8"/>
  <c r="Z36" i="9"/>
  <c r="AA38" i="9"/>
  <c r="AA44" i="9"/>
  <c r="AA50" i="9"/>
  <c r="AA43" i="9"/>
  <c r="AA49" i="9"/>
  <c r="AA41" i="9"/>
  <c r="AA47" i="9"/>
  <c r="AA40" i="9"/>
  <c r="AA46" i="9"/>
  <c r="AA55" i="9"/>
  <c r="AA54" i="9"/>
  <c r="AA53" i="9"/>
  <c r="AA51" i="9"/>
  <c r="AA52" i="9"/>
  <c r="AA56" i="9"/>
  <c r="AA48" i="9"/>
  <c r="AA37" i="9"/>
  <c r="AA45" i="9"/>
  <c r="AA39" i="9"/>
  <c r="AA42" i="9"/>
  <c r="X28" i="9"/>
  <c r="X26" i="9"/>
  <c r="X24" i="9"/>
  <c r="Y13" i="9"/>
  <c r="Q160" i="8" s="1"/>
  <c r="Y17" i="9"/>
  <c r="Z18" i="9"/>
  <c r="R158" i="8" s="1"/>
  <c r="O352" i="8"/>
  <c r="P354" i="8"/>
  <c r="P348" i="8" s="1"/>
  <c r="X125" i="9" s="1"/>
  <c r="P353" i="8"/>
  <c r="P347" i="8" s="1"/>
  <c r="P356" i="8"/>
  <c r="P350" i="8" s="1"/>
  <c r="Q344" i="8"/>
  <c r="Q341" i="8"/>
  <c r="Q343" i="8"/>
  <c r="Q342" i="8"/>
  <c r="Q335" i="8"/>
  <c r="Q336" i="8"/>
  <c r="Q338" i="8"/>
  <c r="Q337" i="8"/>
  <c r="S329" i="8"/>
  <c r="S240" i="8"/>
  <c r="Z12" i="9"/>
  <c r="R330" i="8"/>
  <c r="R332" i="8" s="1"/>
  <c r="Z14" i="9"/>
  <c r="R331" i="8"/>
  <c r="AA11" i="9"/>
  <c r="U273" i="8"/>
  <c r="S295" i="8"/>
  <c r="V272" i="8"/>
  <c r="T294" i="8"/>
  <c r="U274" i="8"/>
  <c r="S296" i="8"/>
  <c r="R156" i="8"/>
  <c r="R185" i="8" s="1"/>
  <c r="R130" i="8"/>
  <c r="AD55" i="8"/>
  <c r="S242" i="8" s="1"/>
  <c r="S155" i="8"/>
  <c r="S184" i="8" s="1"/>
  <c r="S129" i="8"/>
  <c r="R157" i="8"/>
  <c r="R186" i="8" s="1"/>
  <c r="R131" i="8"/>
  <c r="AE53" i="8"/>
  <c r="AD54" i="8"/>
  <c r="S241" i="8" s="1"/>
  <c r="H42" i="4"/>
  <c r="J42" i="4" s="1"/>
  <c r="I41" i="4"/>
  <c r="K41" i="4" s="1"/>
  <c r="B41" i="4"/>
  <c r="D40" i="4"/>
  <c r="C40" i="4"/>
  <c r="T237" i="9" l="1"/>
  <c r="U235" i="9" s="1"/>
  <c r="Y94" i="9"/>
  <c r="V124" i="9"/>
  <c r="W29" i="9"/>
  <c r="W124" i="9" s="1"/>
  <c r="U247" i="9"/>
  <c r="U166" i="9"/>
  <c r="U176" i="9" s="1"/>
  <c r="U236" i="9" s="1"/>
  <c r="V174" i="9"/>
  <c r="W27" i="9"/>
  <c r="X27" i="9" s="1"/>
  <c r="X64" i="9" s="1"/>
  <c r="V65" i="9"/>
  <c r="AB15" i="9"/>
  <c r="AB56" i="9" s="1"/>
  <c r="Y22" i="9"/>
  <c r="Y139" i="9"/>
  <c r="Y282" i="9" s="1"/>
  <c r="Y287" i="9" s="1"/>
  <c r="T119" i="9"/>
  <c r="T57" i="9"/>
  <c r="X141" i="9"/>
  <c r="X282" i="9"/>
  <c r="Z94" i="9"/>
  <c r="Z249" i="9"/>
  <c r="V61" i="9"/>
  <c r="E40" i="4"/>
  <c r="V79" i="9"/>
  <c r="V23" i="9"/>
  <c r="U35" i="9"/>
  <c r="U57" i="9" s="1"/>
  <c r="W79" i="9"/>
  <c r="X25" i="9"/>
  <c r="X61" i="9" s="1"/>
  <c r="Q333" i="8"/>
  <c r="Y140" i="9"/>
  <c r="AA36" i="9"/>
  <c r="V75" i="9"/>
  <c r="V74" i="9" s="1"/>
  <c r="V254" i="9" s="1"/>
  <c r="Y26" i="9"/>
  <c r="Y24" i="9"/>
  <c r="Y28" i="9"/>
  <c r="Z13" i="9"/>
  <c r="Z17" i="9"/>
  <c r="AA18" i="9"/>
  <c r="S158" i="8" s="1"/>
  <c r="P352" i="8"/>
  <c r="Q354" i="8"/>
  <c r="Q348" i="8" s="1"/>
  <c r="Y125" i="9" s="1"/>
  <c r="Q355" i="8"/>
  <c r="Q349" i="8" s="1"/>
  <c r="Q353" i="8"/>
  <c r="Q347" i="8" s="1"/>
  <c r="Q356" i="8"/>
  <c r="Q350" i="8" s="1"/>
  <c r="R344" i="8"/>
  <c r="R341" i="8"/>
  <c r="R342" i="8"/>
  <c r="R343" i="8"/>
  <c r="R337" i="8"/>
  <c r="R335" i="8"/>
  <c r="R338" i="8"/>
  <c r="R336" i="8"/>
  <c r="T329" i="8"/>
  <c r="T240" i="8"/>
  <c r="AA14" i="9"/>
  <c r="AC15" i="9" s="1"/>
  <c r="S331" i="8"/>
  <c r="AA12" i="9"/>
  <c r="S330" i="8"/>
  <c r="S332" i="8" s="1"/>
  <c r="AB11" i="9"/>
  <c r="V274" i="8"/>
  <c r="T296" i="8"/>
  <c r="W272" i="8"/>
  <c r="U294" i="8"/>
  <c r="V273" i="8"/>
  <c r="T295" i="8"/>
  <c r="S157" i="8"/>
  <c r="S186" i="8" s="1"/>
  <c r="S131" i="8"/>
  <c r="AE55" i="8"/>
  <c r="T242" i="8" s="1"/>
  <c r="T155" i="8"/>
  <c r="T184" i="8" s="1"/>
  <c r="T129" i="8"/>
  <c r="S156" i="8"/>
  <c r="S185" i="8" s="1"/>
  <c r="S130" i="8"/>
  <c r="AF53" i="8"/>
  <c r="AE54" i="8"/>
  <c r="T241" i="8" s="1"/>
  <c r="D41" i="4"/>
  <c r="C41" i="4"/>
  <c r="H43" i="4"/>
  <c r="J43" i="4" s="1"/>
  <c r="I42" i="4"/>
  <c r="K42" i="4" s="1"/>
  <c r="B42" i="4"/>
  <c r="U237" i="9" l="1"/>
  <c r="V235" i="9" s="1"/>
  <c r="W123" i="9"/>
  <c r="W75" i="9" s="1"/>
  <c r="W74" i="9" s="1"/>
  <c r="W254" i="9" s="1"/>
  <c r="W65" i="9"/>
  <c r="X29" i="9"/>
  <c r="X123" i="9" s="1"/>
  <c r="X75" i="9" s="1"/>
  <c r="X74" i="9" s="1"/>
  <c r="X254" i="9" s="1"/>
  <c r="AB37" i="9"/>
  <c r="AB43" i="9"/>
  <c r="W64" i="9"/>
  <c r="AB45" i="9"/>
  <c r="AB46" i="9"/>
  <c r="AB55" i="9"/>
  <c r="AB42" i="9"/>
  <c r="AB54" i="9"/>
  <c r="AB38" i="9"/>
  <c r="AB50" i="9"/>
  <c r="AB39" i="9"/>
  <c r="AB52" i="9"/>
  <c r="AB48" i="9"/>
  <c r="AB47" i="9"/>
  <c r="AB44" i="9"/>
  <c r="AB40" i="9"/>
  <c r="AB51" i="9"/>
  <c r="AB49" i="9"/>
  <c r="V247" i="9"/>
  <c r="V166" i="9"/>
  <c r="V176" i="9" s="1"/>
  <c r="V236" i="9" s="1"/>
  <c r="V237" i="9" s="1"/>
  <c r="W235" i="9" s="1"/>
  <c r="AB53" i="9"/>
  <c r="AB41" i="9"/>
  <c r="W174" i="9"/>
  <c r="R356" i="8"/>
  <c r="R350" i="8" s="1"/>
  <c r="Z22" i="9"/>
  <c r="R160" i="8"/>
  <c r="Y141" i="9"/>
  <c r="Z139" i="9"/>
  <c r="Z282" i="9" s="1"/>
  <c r="Z287" i="9" s="1"/>
  <c r="U119" i="9"/>
  <c r="U246" i="9"/>
  <c r="U250" i="9" s="1"/>
  <c r="X287" i="9"/>
  <c r="AA94" i="9"/>
  <c r="AA249" i="9"/>
  <c r="U85" i="9"/>
  <c r="U86" i="9"/>
  <c r="U84" i="9"/>
  <c r="X65" i="9"/>
  <c r="Y25" i="9"/>
  <c r="Y61" i="9" s="1"/>
  <c r="Y27" i="9"/>
  <c r="Y64" i="9" s="1"/>
  <c r="W23" i="9"/>
  <c r="V35" i="9"/>
  <c r="X79" i="9"/>
  <c r="R333" i="8"/>
  <c r="Z140" i="9"/>
  <c r="AC55" i="9"/>
  <c r="AC56" i="9"/>
  <c r="AC40" i="9"/>
  <c r="AC51" i="9"/>
  <c r="AC50" i="9"/>
  <c r="AC53" i="9"/>
  <c r="AC43" i="9"/>
  <c r="AC47" i="9"/>
  <c r="AC44" i="9"/>
  <c r="AC39" i="9"/>
  <c r="AC37" i="9"/>
  <c r="AC48" i="9"/>
  <c r="AC52" i="9"/>
  <c r="AC54" i="9"/>
  <c r="AC38" i="9"/>
  <c r="AC41" i="9"/>
  <c r="AC45" i="9"/>
  <c r="AC46" i="9"/>
  <c r="AC49" i="9"/>
  <c r="AC42" i="9"/>
  <c r="Z28" i="9"/>
  <c r="Z26" i="9"/>
  <c r="Z24" i="9"/>
  <c r="AA13" i="9"/>
  <c r="AA17" i="9"/>
  <c r="AB18" i="9"/>
  <c r="T158" i="8" s="1"/>
  <c r="R355" i="8"/>
  <c r="R349" i="8" s="1"/>
  <c r="R353" i="8"/>
  <c r="R354" i="8"/>
  <c r="R348" i="8" s="1"/>
  <c r="Z125" i="9" s="1"/>
  <c r="Q352" i="8"/>
  <c r="S343" i="8"/>
  <c r="S342" i="8"/>
  <c r="S341" i="8"/>
  <c r="S344" i="8"/>
  <c r="S338" i="8"/>
  <c r="S336" i="8"/>
  <c r="S335" i="8"/>
  <c r="S337" i="8"/>
  <c r="U329" i="8"/>
  <c r="U240" i="8"/>
  <c r="AB14" i="9"/>
  <c r="AD15" i="9" s="1"/>
  <c r="T331" i="8"/>
  <c r="AB12" i="9"/>
  <c r="T330" i="8"/>
  <c r="T332" i="8" s="1"/>
  <c r="AC11" i="9"/>
  <c r="W274" i="8"/>
  <c r="U296" i="8"/>
  <c r="W273" i="8"/>
  <c r="U295" i="8"/>
  <c r="X272" i="8"/>
  <c r="V294" i="8"/>
  <c r="E41" i="4"/>
  <c r="T157" i="8"/>
  <c r="T186" i="8" s="1"/>
  <c r="T131" i="8"/>
  <c r="AF55" i="8"/>
  <c r="U242" i="8" s="1"/>
  <c r="U155" i="8"/>
  <c r="U184" i="8" s="1"/>
  <c r="U129" i="8"/>
  <c r="T130" i="8"/>
  <c r="T156" i="8"/>
  <c r="T185" i="8" s="1"/>
  <c r="AF54" i="8"/>
  <c r="U241" i="8" s="1"/>
  <c r="AG53" i="8"/>
  <c r="H44" i="4"/>
  <c r="J44" i="4" s="1"/>
  <c r="I43" i="4"/>
  <c r="K43" i="4" s="1"/>
  <c r="B43" i="4"/>
  <c r="D42" i="4"/>
  <c r="C42" i="4"/>
  <c r="Y29" i="9" l="1"/>
  <c r="Y123" i="9" s="1"/>
  <c r="Y75" i="9" s="1"/>
  <c r="Y74" i="9" s="1"/>
  <c r="Y254" i="9" s="1"/>
  <c r="X124" i="9"/>
  <c r="AB36" i="9"/>
  <c r="AB94" i="9" s="1"/>
  <c r="E42" i="4"/>
  <c r="W247" i="9"/>
  <c r="W166" i="9"/>
  <c r="W176" i="9" s="1"/>
  <c r="W236" i="9" s="1"/>
  <c r="W237" i="9" s="1"/>
  <c r="X235" i="9" s="1"/>
  <c r="X174" i="9"/>
  <c r="Z141" i="9"/>
  <c r="AA22" i="9"/>
  <c r="S160" i="8"/>
  <c r="AA139" i="9"/>
  <c r="AA282" i="9" s="1"/>
  <c r="AA287" i="9" s="1"/>
  <c r="Y124" i="9"/>
  <c r="V119" i="9"/>
  <c r="V246" i="9"/>
  <c r="V250" i="9" s="1"/>
  <c r="V85" i="9"/>
  <c r="V86" i="9"/>
  <c r="V57" i="9"/>
  <c r="V84" i="9"/>
  <c r="Y79" i="9"/>
  <c r="Y65" i="9"/>
  <c r="Z25" i="9"/>
  <c r="Z61" i="9" s="1"/>
  <c r="Z27" i="9"/>
  <c r="Z65" i="9" s="1"/>
  <c r="X23" i="9"/>
  <c r="W35" i="9"/>
  <c r="S333" i="8"/>
  <c r="AA140" i="9"/>
  <c r="AC36" i="9"/>
  <c r="AC249" i="9" s="1"/>
  <c r="AD42" i="9"/>
  <c r="AD48" i="9"/>
  <c r="AD54" i="9"/>
  <c r="AD40" i="9"/>
  <c r="AD43" i="9"/>
  <c r="AD46" i="9"/>
  <c r="AD49" i="9"/>
  <c r="AD56" i="9"/>
  <c r="AD55" i="9"/>
  <c r="AD52" i="9"/>
  <c r="AD50" i="9"/>
  <c r="AD39" i="9"/>
  <c r="AD37" i="9"/>
  <c r="AD53" i="9"/>
  <c r="AD41" i="9"/>
  <c r="AD38" i="9"/>
  <c r="AD47" i="9"/>
  <c r="AD45" i="9"/>
  <c r="AD44" i="9"/>
  <c r="AD51" i="9"/>
  <c r="AA28" i="9"/>
  <c r="AA26" i="9"/>
  <c r="AA24" i="9"/>
  <c r="S355" i="8"/>
  <c r="S349" i="8" s="1"/>
  <c r="AB13" i="9"/>
  <c r="AB17" i="9"/>
  <c r="AC18" i="9"/>
  <c r="U158" i="8" s="1"/>
  <c r="S353" i="8"/>
  <c r="S347" i="8" s="1"/>
  <c r="S354" i="8"/>
  <c r="S348" i="8" s="1"/>
  <c r="AA125" i="9" s="1"/>
  <c r="S356" i="8"/>
  <c r="R352" i="8"/>
  <c r="R347" i="8"/>
  <c r="T344" i="8"/>
  <c r="T343" i="8"/>
  <c r="T342" i="8"/>
  <c r="T341" i="8"/>
  <c r="T336" i="8"/>
  <c r="T337" i="8"/>
  <c r="T335" i="8"/>
  <c r="T338" i="8"/>
  <c r="V329" i="8"/>
  <c r="V240" i="8"/>
  <c r="AC12" i="9"/>
  <c r="U330" i="8"/>
  <c r="U332" i="8" s="1"/>
  <c r="AC14" i="9"/>
  <c r="AE15" i="9" s="1"/>
  <c r="U331" i="8"/>
  <c r="AD11" i="9"/>
  <c r="Y272" i="8"/>
  <c r="W294" i="8"/>
  <c r="X274" i="8"/>
  <c r="V296" i="8"/>
  <c r="X273" i="8"/>
  <c r="V295" i="8"/>
  <c r="U157" i="8"/>
  <c r="U186" i="8" s="1"/>
  <c r="U131" i="8"/>
  <c r="AG55" i="8"/>
  <c r="V242" i="8" s="1"/>
  <c r="V155" i="8"/>
  <c r="V184" i="8" s="1"/>
  <c r="V129" i="8"/>
  <c r="U130" i="8"/>
  <c r="U156" i="8"/>
  <c r="U185" i="8" s="1"/>
  <c r="AG54" i="8"/>
  <c r="V241" i="8" s="1"/>
  <c r="AH53" i="8"/>
  <c r="D43" i="4"/>
  <c r="C43" i="4"/>
  <c r="H45" i="4"/>
  <c r="J45" i="4" s="1"/>
  <c r="I44" i="4"/>
  <c r="K44" i="4" s="1"/>
  <c r="B44" i="4"/>
  <c r="Z29" i="9" l="1"/>
  <c r="Z124" i="9" s="1"/>
  <c r="AB249" i="9"/>
  <c r="X247" i="9"/>
  <c r="X166" i="9"/>
  <c r="X176" i="9" s="1"/>
  <c r="X236" i="9" s="1"/>
  <c r="X237" i="9" s="1"/>
  <c r="Y235" i="9" s="1"/>
  <c r="Y174" i="9"/>
  <c r="Z123" i="9"/>
  <c r="Z75" i="9" s="1"/>
  <c r="Z74" i="9" s="1"/>
  <c r="Z254" i="9" s="1"/>
  <c r="AB22" i="9"/>
  <c r="T160" i="8"/>
  <c r="AA141" i="9"/>
  <c r="AB139" i="9"/>
  <c r="AB282" i="9" s="1"/>
  <c r="AB287" i="9" s="1"/>
  <c r="W119" i="9"/>
  <c r="W246" i="9"/>
  <c r="W250" i="9" s="1"/>
  <c r="AC94" i="9"/>
  <c r="W85" i="9"/>
  <c r="W86" i="9"/>
  <c r="W57" i="9"/>
  <c r="W84" i="9"/>
  <c r="AA25" i="9"/>
  <c r="AA79" i="9" s="1"/>
  <c r="Z79" i="9"/>
  <c r="Z64" i="9"/>
  <c r="AA27" i="9"/>
  <c r="AA65" i="9" s="1"/>
  <c r="Y23" i="9"/>
  <c r="X35" i="9"/>
  <c r="T333" i="8"/>
  <c r="AB140" i="9"/>
  <c r="T354" i="8"/>
  <c r="T348" i="8" s="1"/>
  <c r="AB125" i="9" s="1"/>
  <c r="AE42" i="9"/>
  <c r="AE48" i="9"/>
  <c r="AE54" i="9"/>
  <c r="AE39" i="9"/>
  <c r="AE53" i="9"/>
  <c r="AE40" i="9"/>
  <c r="AE37" i="9"/>
  <c r="AE45" i="9"/>
  <c r="AE49" i="9"/>
  <c r="AE44" i="9"/>
  <c r="AE47" i="9"/>
  <c r="AE50" i="9"/>
  <c r="AE38" i="9"/>
  <c r="AE43" i="9"/>
  <c r="AE41" i="9"/>
  <c r="AE52" i="9"/>
  <c r="AE51" i="9"/>
  <c r="AE55" i="9"/>
  <c r="AE56" i="9"/>
  <c r="AE46" i="9"/>
  <c r="AD36" i="9"/>
  <c r="AB24" i="9"/>
  <c r="AB28" i="9"/>
  <c r="AB26" i="9"/>
  <c r="AC13" i="9"/>
  <c r="AC17" i="9"/>
  <c r="AD18" i="9"/>
  <c r="V158" i="8" s="1"/>
  <c r="T353" i="8"/>
  <c r="T347" i="8" s="1"/>
  <c r="T356" i="8"/>
  <c r="T350" i="8" s="1"/>
  <c r="T355" i="8"/>
  <c r="S352" i="8"/>
  <c r="S350" i="8"/>
  <c r="U341" i="8"/>
  <c r="U343" i="8"/>
  <c r="U342" i="8"/>
  <c r="U344" i="8"/>
  <c r="U336" i="8"/>
  <c r="U337" i="8"/>
  <c r="U338" i="8"/>
  <c r="U335" i="8"/>
  <c r="W329" i="8"/>
  <c r="W240" i="8"/>
  <c r="AD12" i="9"/>
  <c r="V330" i="8"/>
  <c r="V332" i="8" s="1"/>
  <c r="AD14" i="9"/>
  <c r="AF15" i="9" s="1"/>
  <c r="V331" i="8"/>
  <c r="AE11" i="9"/>
  <c r="Z272" i="8"/>
  <c r="X294" i="8"/>
  <c r="Y274" i="8"/>
  <c r="W296" i="8"/>
  <c r="Y273" i="8"/>
  <c r="W295" i="8"/>
  <c r="E43" i="4"/>
  <c r="V131" i="8"/>
  <c r="V157" i="8"/>
  <c r="V186" i="8" s="1"/>
  <c r="AH55" i="8"/>
  <c r="W242" i="8" s="1"/>
  <c r="W155" i="8"/>
  <c r="W184" i="8" s="1"/>
  <c r="W129" i="8"/>
  <c r="V130" i="8"/>
  <c r="V156" i="8"/>
  <c r="V185" i="8" s="1"/>
  <c r="AH54" i="8"/>
  <c r="W241" i="8" s="1"/>
  <c r="AI53" i="8"/>
  <c r="D44" i="4"/>
  <c r="C44" i="4"/>
  <c r="H46" i="4"/>
  <c r="J46" i="4" s="1"/>
  <c r="I45" i="4"/>
  <c r="K45" i="4" s="1"/>
  <c r="B45" i="4"/>
  <c r="AA29" i="9" l="1"/>
  <c r="AA123" i="9" s="1"/>
  <c r="AA75" i="9" s="1"/>
  <c r="AA74" i="9" s="1"/>
  <c r="AA254" i="9" s="1"/>
  <c r="Y247" i="9"/>
  <c r="Y166" i="9"/>
  <c r="Y176" i="9" s="1"/>
  <c r="Y236" i="9" s="1"/>
  <c r="Y237" i="9" s="1"/>
  <c r="Z235" i="9" s="1"/>
  <c r="Z174" i="9"/>
  <c r="AC22" i="9"/>
  <c r="U160" i="8"/>
  <c r="AC139" i="9"/>
  <c r="AC282" i="9" s="1"/>
  <c r="AC287" i="9" s="1"/>
  <c r="AD94" i="9"/>
  <c r="AD249" i="9"/>
  <c r="X119" i="9"/>
  <c r="X246" i="9"/>
  <c r="X250" i="9" s="1"/>
  <c r="AA64" i="9"/>
  <c r="AA61" i="9"/>
  <c r="AB25" i="9"/>
  <c r="AB79" i="9" s="1"/>
  <c r="X85" i="9"/>
  <c r="X86" i="9"/>
  <c r="X57" i="9"/>
  <c r="X84" i="9"/>
  <c r="AB27" i="9"/>
  <c r="AB64" i="9" s="1"/>
  <c r="Y35" i="9"/>
  <c r="Z23" i="9"/>
  <c r="AB141" i="9"/>
  <c r="U333" i="8"/>
  <c r="AC140" i="9"/>
  <c r="AF47" i="9"/>
  <c r="AF45" i="9"/>
  <c r="AF44" i="9"/>
  <c r="AF52" i="9"/>
  <c r="AF46" i="9"/>
  <c r="AF37" i="9"/>
  <c r="AF42" i="9"/>
  <c r="AF49" i="9"/>
  <c r="AF56" i="9"/>
  <c r="AF40" i="9"/>
  <c r="AF51" i="9"/>
  <c r="AF50" i="9"/>
  <c r="AF39" i="9"/>
  <c r="AF48" i="9"/>
  <c r="AF38" i="9"/>
  <c r="AF53" i="9"/>
  <c r="AF41" i="9"/>
  <c r="AF54" i="9"/>
  <c r="AF55" i="9"/>
  <c r="AF43" i="9"/>
  <c r="AE36" i="9"/>
  <c r="AC24" i="9"/>
  <c r="AC28" i="9"/>
  <c r="AC26" i="9"/>
  <c r="AD13" i="9"/>
  <c r="AD17" i="9"/>
  <c r="AE18" i="9"/>
  <c r="W158" i="8" s="1"/>
  <c r="U354" i="8"/>
  <c r="U348" i="8" s="1"/>
  <c r="AC125" i="9" s="1"/>
  <c r="U353" i="8"/>
  <c r="U356" i="8"/>
  <c r="U350" i="8" s="1"/>
  <c r="U355" i="8"/>
  <c r="U349" i="8" s="1"/>
  <c r="T352" i="8"/>
  <c r="T349" i="8"/>
  <c r="V341" i="8"/>
  <c r="V342" i="8"/>
  <c r="V344" i="8"/>
  <c r="V343" i="8"/>
  <c r="V335" i="8"/>
  <c r="V338" i="8"/>
  <c r="V336" i="8"/>
  <c r="V337" i="8"/>
  <c r="X329" i="8"/>
  <c r="X240" i="8"/>
  <c r="AE14" i="9"/>
  <c r="AG15" i="9" s="1"/>
  <c r="W331" i="8"/>
  <c r="AE12" i="9"/>
  <c r="W330" i="8"/>
  <c r="W332" i="8" s="1"/>
  <c r="AF11" i="9"/>
  <c r="AA272" i="8"/>
  <c r="Y294" i="8"/>
  <c r="Z273" i="8"/>
  <c r="X295" i="8"/>
  <c r="Z274" i="8"/>
  <c r="X296" i="8"/>
  <c r="E44" i="4"/>
  <c r="W131" i="8"/>
  <c r="W157" i="8"/>
  <c r="W186" i="8" s="1"/>
  <c r="AI55" i="8"/>
  <c r="X242" i="8" s="1"/>
  <c r="X155" i="8"/>
  <c r="X184" i="8" s="1"/>
  <c r="X129" i="8"/>
  <c r="W156" i="8"/>
  <c r="W185" i="8" s="1"/>
  <c r="W130" i="8"/>
  <c r="AJ53" i="8"/>
  <c r="AI54" i="8"/>
  <c r="X241" i="8" s="1"/>
  <c r="I46" i="4"/>
  <c r="K46" i="4" s="1"/>
  <c r="H47" i="4"/>
  <c r="J47" i="4" s="1"/>
  <c r="B46" i="4"/>
  <c r="D45" i="4"/>
  <c r="C45" i="4"/>
  <c r="AA124" i="9" l="1"/>
  <c r="AB29" i="9"/>
  <c r="Z247" i="9"/>
  <c r="Z166" i="9"/>
  <c r="Z176" i="9" s="1"/>
  <c r="Z236" i="9" s="1"/>
  <c r="Z237" i="9" s="1"/>
  <c r="AA235" i="9" s="1"/>
  <c r="AA174" i="9"/>
  <c r="AD22" i="9"/>
  <c r="V160" i="8"/>
  <c r="AD139" i="9"/>
  <c r="AD282" i="9" s="1"/>
  <c r="AD287" i="9" s="1"/>
  <c r="Y119" i="9"/>
  <c r="Y246" i="9"/>
  <c r="Y250" i="9" s="1"/>
  <c r="AE94" i="9"/>
  <c r="AE249" i="9"/>
  <c r="AC25" i="9"/>
  <c r="AC61" i="9" s="1"/>
  <c r="AB61" i="9"/>
  <c r="Y85" i="9"/>
  <c r="Y86" i="9"/>
  <c r="Y57" i="9"/>
  <c r="Y84" i="9"/>
  <c r="AB65" i="9"/>
  <c r="AC27" i="9"/>
  <c r="AC65" i="9" s="1"/>
  <c r="Z35" i="9"/>
  <c r="AA23" i="9"/>
  <c r="AC141" i="9"/>
  <c r="V333" i="8"/>
  <c r="V354" i="8"/>
  <c r="V348" i="8" s="1"/>
  <c r="AD125" i="9" s="1"/>
  <c r="AD140" i="9"/>
  <c r="AF36" i="9"/>
  <c r="AG38" i="9"/>
  <c r="AG50" i="9"/>
  <c r="AG42" i="9"/>
  <c r="AG48" i="9"/>
  <c r="AG54" i="9"/>
  <c r="AG44" i="9"/>
  <c r="AG39" i="9"/>
  <c r="AG56" i="9"/>
  <c r="AG46" i="9"/>
  <c r="AG40" i="9"/>
  <c r="AG53" i="9"/>
  <c r="AG47" i="9"/>
  <c r="AG43" i="9"/>
  <c r="AG37" i="9"/>
  <c r="AG49" i="9"/>
  <c r="AG51" i="9"/>
  <c r="AG52" i="9"/>
  <c r="AG41" i="9"/>
  <c r="AG45" i="9"/>
  <c r="AG55" i="9"/>
  <c r="AD28" i="9"/>
  <c r="AD26" i="9"/>
  <c r="AD24" i="9"/>
  <c r="AE13" i="9"/>
  <c r="AE17" i="9"/>
  <c r="AF18" i="9"/>
  <c r="X158" i="8" s="1"/>
  <c r="U352" i="8"/>
  <c r="U347" i="8"/>
  <c r="V355" i="8"/>
  <c r="V349" i="8" s="1"/>
  <c r="V356" i="8"/>
  <c r="V350" i="8" s="1"/>
  <c r="V353" i="8"/>
  <c r="W342" i="8"/>
  <c r="W344" i="8"/>
  <c r="W343" i="8"/>
  <c r="W341" i="8"/>
  <c r="W338" i="8"/>
  <c r="W336" i="8"/>
  <c r="W335" i="8"/>
  <c r="W337" i="8"/>
  <c r="Y329" i="8"/>
  <c r="Y240" i="8"/>
  <c r="AF14" i="9"/>
  <c r="AH15" i="9" s="1"/>
  <c r="X331" i="8"/>
  <c r="AF12" i="9"/>
  <c r="X330" i="8"/>
  <c r="X332" i="8" s="1"/>
  <c r="AG11" i="9"/>
  <c r="AB272" i="8"/>
  <c r="Z294" i="8"/>
  <c r="AA273" i="8"/>
  <c r="Y295" i="8"/>
  <c r="AA274" i="8"/>
  <c r="Y296" i="8"/>
  <c r="X157" i="8"/>
  <c r="X186" i="8" s="1"/>
  <c r="X131" i="8"/>
  <c r="X156" i="8"/>
  <c r="X185" i="8" s="1"/>
  <c r="X130" i="8"/>
  <c r="AJ55" i="8"/>
  <c r="Y242" i="8" s="1"/>
  <c r="Y129" i="8"/>
  <c r="Y155" i="8"/>
  <c r="Y184" i="8" s="1"/>
  <c r="AK53" i="8"/>
  <c r="AJ54" i="8"/>
  <c r="Y241" i="8" s="1"/>
  <c r="E45" i="4"/>
  <c r="I47" i="4"/>
  <c r="K47" i="4" s="1"/>
  <c r="B47" i="4"/>
  <c r="H48" i="4"/>
  <c r="J48" i="4" s="1"/>
  <c r="D46" i="4"/>
  <c r="C46" i="4"/>
  <c r="AB124" i="9" l="1"/>
  <c r="AB123" i="9"/>
  <c r="AB75" i="9" s="1"/>
  <c r="AB74" i="9" s="1"/>
  <c r="AB254" i="9" s="1"/>
  <c r="AC29" i="9"/>
  <c r="AD29" i="9" s="1"/>
  <c r="E46" i="4"/>
  <c r="AA247" i="9"/>
  <c r="AA166" i="9"/>
  <c r="AA176" i="9" s="1"/>
  <c r="AA236" i="9" s="1"/>
  <c r="AA237" i="9" s="1"/>
  <c r="AB235" i="9" s="1"/>
  <c r="AB174" i="9"/>
  <c r="AE22" i="9"/>
  <c r="W160" i="8"/>
  <c r="AE139" i="9"/>
  <c r="AE282" i="9" s="1"/>
  <c r="AE287" i="9" s="1"/>
  <c r="AD25" i="9"/>
  <c r="AD61" i="9" s="1"/>
  <c r="AC64" i="9"/>
  <c r="Z119" i="9"/>
  <c r="Z246" i="9"/>
  <c r="Z250" i="9" s="1"/>
  <c r="AC79" i="9"/>
  <c r="AF94" i="9"/>
  <c r="AF249" i="9"/>
  <c r="AD27" i="9"/>
  <c r="AD64" i="9" s="1"/>
  <c r="Z85" i="9"/>
  <c r="Z86" i="9"/>
  <c r="Z57" i="9"/>
  <c r="Z84" i="9"/>
  <c r="AA35" i="9"/>
  <c r="AB23" i="9"/>
  <c r="W333" i="8"/>
  <c r="AE140" i="9"/>
  <c r="AD141" i="9"/>
  <c r="AG36" i="9"/>
  <c r="AG249" i="9" s="1"/>
  <c r="AH56" i="9"/>
  <c r="AH55" i="9"/>
  <c r="AH38" i="9"/>
  <c r="AH44" i="9"/>
  <c r="AH50" i="9"/>
  <c r="AH53" i="9"/>
  <c r="AH54" i="9"/>
  <c r="AH42" i="9"/>
  <c r="AH45" i="9"/>
  <c r="AH48" i="9"/>
  <c r="AH46" i="9"/>
  <c r="AH43" i="9"/>
  <c r="AH40" i="9"/>
  <c r="AH41" i="9"/>
  <c r="AH47" i="9"/>
  <c r="AH39" i="9"/>
  <c r="AH37" i="9"/>
  <c r="AH49" i="9"/>
  <c r="AH52" i="9"/>
  <c r="AH51" i="9"/>
  <c r="AE26" i="9"/>
  <c r="AE28" i="9"/>
  <c r="AE24" i="9"/>
  <c r="AF13" i="9"/>
  <c r="AF17" i="9"/>
  <c r="AG18" i="9"/>
  <c r="Y158" i="8" s="1"/>
  <c r="W356" i="8"/>
  <c r="W350" i="8" s="1"/>
  <c r="W355" i="8"/>
  <c r="W349" i="8" s="1"/>
  <c r="V347" i="8"/>
  <c r="V352" i="8"/>
  <c r="W353" i="8"/>
  <c r="W354" i="8"/>
  <c r="W348" i="8" s="1"/>
  <c r="AE125" i="9" s="1"/>
  <c r="X344" i="8"/>
  <c r="X341" i="8"/>
  <c r="X342" i="8"/>
  <c r="X343" i="8"/>
  <c r="X338" i="8"/>
  <c r="X335" i="8"/>
  <c r="X337" i="8"/>
  <c r="X336" i="8"/>
  <c r="Z329" i="8"/>
  <c r="Z240" i="8"/>
  <c r="AG14" i="9"/>
  <c r="AI15" i="9" s="1"/>
  <c r="Y331" i="8"/>
  <c r="AG12" i="9"/>
  <c r="Y330" i="8"/>
  <c r="Y332" i="8" s="1"/>
  <c r="AH11" i="9"/>
  <c r="AB273" i="8"/>
  <c r="Z295" i="8"/>
  <c r="AC272" i="8"/>
  <c r="AA294" i="8"/>
  <c r="AB274" i="8"/>
  <c r="Z296" i="8"/>
  <c r="Y156" i="8"/>
  <c r="Y185" i="8" s="1"/>
  <c r="Y130" i="8"/>
  <c r="Y157" i="8"/>
  <c r="Y186" i="8" s="1"/>
  <c r="Y131" i="8"/>
  <c r="AK55" i="8"/>
  <c r="Z242" i="8" s="1"/>
  <c r="Z129" i="8"/>
  <c r="Z155" i="8"/>
  <c r="Z184" i="8" s="1"/>
  <c r="AL53" i="8"/>
  <c r="AK54" i="8"/>
  <c r="Z241" i="8" s="1"/>
  <c r="H49" i="4"/>
  <c r="J49" i="4" s="1"/>
  <c r="I48" i="4"/>
  <c r="K48" i="4" s="1"/>
  <c r="B48" i="4"/>
  <c r="D47" i="4"/>
  <c r="L47" i="4"/>
  <c r="C47" i="4"/>
  <c r="AD124" i="9" l="1"/>
  <c r="AD123" i="9"/>
  <c r="AD75" i="9" s="1"/>
  <c r="AD74" i="9" s="1"/>
  <c r="AC124" i="9"/>
  <c r="AC123" i="9"/>
  <c r="AC75" i="9" s="1"/>
  <c r="AC74" i="9" s="1"/>
  <c r="AC254" i="9" s="1"/>
  <c r="AE29" i="9"/>
  <c r="AD254" i="9"/>
  <c r="AB247" i="9"/>
  <c r="AB166" i="9"/>
  <c r="AB176" i="9" s="1"/>
  <c r="AB236" i="9" s="1"/>
  <c r="AB237" i="9" s="1"/>
  <c r="AC235" i="9" s="1"/>
  <c r="AC174" i="9"/>
  <c r="AE141" i="9"/>
  <c r="AF22" i="9"/>
  <c r="X160" i="8"/>
  <c r="AF139" i="9"/>
  <c r="AF282" i="9" s="1"/>
  <c r="AF287" i="9" s="1"/>
  <c r="AD79" i="9"/>
  <c r="AE25" i="9"/>
  <c r="AE61" i="9" s="1"/>
  <c r="AA119" i="9"/>
  <c r="AA246" i="9"/>
  <c r="AA250" i="9" s="1"/>
  <c r="AG94" i="9"/>
  <c r="AE27" i="9"/>
  <c r="AE64" i="9" s="1"/>
  <c r="AD65" i="9"/>
  <c r="AA85" i="9"/>
  <c r="AA86" i="9"/>
  <c r="AA57" i="9"/>
  <c r="AA84" i="9"/>
  <c r="AB35" i="9"/>
  <c r="AC23" i="9"/>
  <c r="X333" i="8"/>
  <c r="AF140" i="9"/>
  <c r="AH36" i="9"/>
  <c r="AI56" i="9"/>
  <c r="AI55" i="9"/>
  <c r="AI46" i="9"/>
  <c r="AI37" i="9"/>
  <c r="AI42" i="9"/>
  <c r="AI49" i="9"/>
  <c r="AI53" i="9"/>
  <c r="AI52" i="9"/>
  <c r="AI40" i="9"/>
  <c r="AI51" i="9"/>
  <c r="AI50" i="9"/>
  <c r="AI38" i="9"/>
  <c r="AI41" i="9"/>
  <c r="AI39" i="9"/>
  <c r="AI48" i="9"/>
  <c r="AI54" i="9"/>
  <c r="AI43" i="9"/>
  <c r="AI47" i="9"/>
  <c r="AI45" i="9"/>
  <c r="AI44" i="9"/>
  <c r="AE123" i="9"/>
  <c r="AE75" i="9" s="1"/>
  <c r="AE74" i="9" s="1"/>
  <c r="AE124" i="9"/>
  <c r="AF28" i="9"/>
  <c r="AF29" i="9" s="1"/>
  <c r="AF26" i="9"/>
  <c r="AF24" i="9"/>
  <c r="AG13" i="9"/>
  <c r="AG17" i="9"/>
  <c r="AH18" i="9"/>
  <c r="Z158" i="8" s="1"/>
  <c r="X355" i="8"/>
  <c r="X349" i="8" s="1"/>
  <c r="X353" i="8"/>
  <c r="X347" i="8" s="1"/>
  <c r="X354" i="8"/>
  <c r="X356" i="8"/>
  <c r="X350" i="8" s="1"/>
  <c r="W347" i="8"/>
  <c r="W352" i="8"/>
  <c r="Y343" i="8"/>
  <c r="Y344" i="8"/>
  <c r="Y341" i="8"/>
  <c r="Y342" i="8"/>
  <c r="Y337" i="8"/>
  <c r="Y338" i="8"/>
  <c r="Y335" i="8"/>
  <c r="Y336" i="8"/>
  <c r="AA329" i="8"/>
  <c r="AA240" i="8"/>
  <c r="AH12" i="9"/>
  <c r="Z330" i="8"/>
  <c r="Z332" i="8" s="1"/>
  <c r="AH14" i="9"/>
  <c r="Z331" i="8"/>
  <c r="E47" i="4"/>
  <c r="AI11" i="9"/>
  <c r="AC273" i="8"/>
  <c r="AA295" i="8"/>
  <c r="AD272" i="8"/>
  <c r="AB294" i="8"/>
  <c r="AC274" i="8"/>
  <c r="AA296" i="8"/>
  <c r="Z156" i="8"/>
  <c r="Z185" i="8" s="1"/>
  <c r="Z130" i="8"/>
  <c r="AL55" i="8"/>
  <c r="AA242" i="8" s="1"/>
  <c r="AA129" i="8"/>
  <c r="AA155" i="8"/>
  <c r="AA184" i="8" s="1"/>
  <c r="Z157" i="8"/>
  <c r="Z186" i="8" s="1"/>
  <c r="Z131" i="8"/>
  <c r="AL54" i="8"/>
  <c r="AA241" i="8" s="1"/>
  <c r="AM53" i="8"/>
  <c r="C48" i="4"/>
  <c r="D48" i="4"/>
  <c r="L48" i="4"/>
  <c r="H50" i="4"/>
  <c r="J50" i="4" s="1"/>
  <c r="I49" i="4"/>
  <c r="K49" i="4" s="1"/>
  <c r="B49" i="4"/>
  <c r="AE254" i="9" l="1"/>
  <c r="AC247" i="9"/>
  <c r="AC166" i="9"/>
  <c r="AC176" i="9" s="1"/>
  <c r="AC236" i="9" s="1"/>
  <c r="AC237" i="9" s="1"/>
  <c r="AD235" i="9" s="1"/>
  <c r="AD174" i="9"/>
  <c r="AG22" i="9"/>
  <c r="Y160" i="8"/>
  <c r="AF25" i="9"/>
  <c r="AF79" i="9" s="1"/>
  <c r="AJ15" i="9"/>
  <c r="AJ37" i="9" s="1"/>
  <c r="AG139" i="9"/>
  <c r="AG282" i="9" s="1"/>
  <c r="AG287" i="9" s="1"/>
  <c r="AE79" i="9"/>
  <c r="AB119" i="9"/>
  <c r="AB246" i="9"/>
  <c r="AB250" i="9" s="1"/>
  <c r="AH94" i="9"/>
  <c r="AH249" i="9"/>
  <c r="AE65" i="9"/>
  <c r="AF27" i="9"/>
  <c r="AF64" i="9" s="1"/>
  <c r="AB85" i="9"/>
  <c r="AB86" i="9"/>
  <c r="AB57" i="9"/>
  <c r="AB84" i="9"/>
  <c r="AD23" i="9"/>
  <c r="AC35" i="9"/>
  <c r="Y333" i="8"/>
  <c r="Y355" i="8"/>
  <c r="Y349" i="8" s="1"/>
  <c r="AF141" i="9"/>
  <c r="AG140" i="9"/>
  <c r="AI36" i="9"/>
  <c r="AF123" i="9"/>
  <c r="AF75" i="9" s="1"/>
  <c r="AF74" i="9" s="1"/>
  <c r="AF254" i="9" s="1"/>
  <c r="AF124" i="9"/>
  <c r="AG28" i="9"/>
  <c r="AG29" i="9" s="1"/>
  <c r="AG26" i="9"/>
  <c r="AG24" i="9"/>
  <c r="AH13" i="9"/>
  <c r="AH17" i="9"/>
  <c r="AI18" i="9"/>
  <c r="AA158" i="8" s="1"/>
  <c r="Y354" i="8"/>
  <c r="Y348" i="8" s="1"/>
  <c r="AG125" i="9" s="1"/>
  <c r="Y356" i="8"/>
  <c r="Y350" i="8" s="1"/>
  <c r="Y353" i="8"/>
  <c r="X352" i="8"/>
  <c r="X348" i="8"/>
  <c r="AF125" i="9" s="1"/>
  <c r="Z341" i="8"/>
  <c r="Z344" i="8"/>
  <c r="Z342" i="8"/>
  <c r="Z343" i="8"/>
  <c r="Z336" i="8"/>
  <c r="Z335" i="8"/>
  <c r="Z338" i="8"/>
  <c r="Z337" i="8"/>
  <c r="AB329" i="8"/>
  <c r="AB240" i="8"/>
  <c r="AI14" i="9"/>
  <c r="AK15" i="9" s="1"/>
  <c r="AA331" i="8"/>
  <c r="AI12" i="9"/>
  <c r="AA330" i="8"/>
  <c r="AA332" i="8" s="1"/>
  <c r="AJ11" i="9"/>
  <c r="AE272" i="8"/>
  <c r="AC294" i="8"/>
  <c r="AD273" i="8"/>
  <c r="AB295" i="8"/>
  <c r="AD274" i="8"/>
  <c r="AB296" i="8"/>
  <c r="AA157" i="8"/>
  <c r="AA186" i="8" s="1"/>
  <c r="AA131" i="8"/>
  <c r="AA156" i="8"/>
  <c r="AA185" i="8" s="1"/>
  <c r="AA130" i="8"/>
  <c r="AM55" i="8"/>
  <c r="AB242" i="8" s="1"/>
  <c r="AB155" i="8"/>
  <c r="AB184" i="8" s="1"/>
  <c r="AB129" i="8"/>
  <c r="AM54" i="8"/>
  <c r="AB241" i="8" s="1"/>
  <c r="AN53" i="8"/>
  <c r="E48" i="4"/>
  <c r="D49" i="4"/>
  <c r="L49" i="4"/>
  <c r="C49" i="4"/>
  <c r="H51" i="4"/>
  <c r="J51" i="4" s="1"/>
  <c r="I50" i="4"/>
  <c r="K50" i="4" s="1"/>
  <c r="B50" i="4"/>
  <c r="AF61" i="9" l="1"/>
  <c r="AJ41" i="9"/>
  <c r="AG25" i="9"/>
  <c r="AG61" i="9" s="1"/>
  <c r="AJ42" i="9"/>
  <c r="AJ44" i="9"/>
  <c r="AJ56" i="9"/>
  <c r="AJ45" i="9"/>
  <c r="AJ43" i="9"/>
  <c r="AJ53" i="9"/>
  <c r="AD247" i="9"/>
  <c r="AD166" i="9"/>
  <c r="AD176" i="9" s="1"/>
  <c r="AD236" i="9" s="1"/>
  <c r="AD237" i="9" s="1"/>
  <c r="AE235" i="9" s="1"/>
  <c r="AE174" i="9"/>
  <c r="AH22" i="9"/>
  <c r="Z160" i="8"/>
  <c r="AJ47" i="9"/>
  <c r="AJ51" i="9"/>
  <c r="AJ55" i="9"/>
  <c r="AJ49" i="9"/>
  <c r="AJ54" i="9"/>
  <c r="AJ40" i="9"/>
  <c r="AJ50" i="9"/>
  <c r="AJ52" i="9"/>
  <c r="AJ48" i="9"/>
  <c r="AJ38" i="9"/>
  <c r="AJ46" i="9"/>
  <c r="AJ39" i="9"/>
  <c r="AH139" i="9"/>
  <c r="AH282" i="9" s="1"/>
  <c r="AH287" i="9" s="1"/>
  <c r="AG27" i="9"/>
  <c r="AG64" i="9" s="1"/>
  <c r="AF65" i="9"/>
  <c r="AI94" i="9"/>
  <c r="AI249" i="9"/>
  <c r="AC119" i="9"/>
  <c r="AC246" i="9"/>
  <c r="AC250" i="9" s="1"/>
  <c r="AC85" i="9"/>
  <c r="AC86" i="9"/>
  <c r="AC57" i="9"/>
  <c r="AC84" i="9"/>
  <c r="AE23" i="9"/>
  <c r="AD35" i="9"/>
  <c r="AG141" i="9"/>
  <c r="Z333" i="8"/>
  <c r="AH140" i="9"/>
  <c r="AG79" i="9"/>
  <c r="AK43" i="9"/>
  <c r="AK49" i="9"/>
  <c r="AK37" i="9"/>
  <c r="AK41" i="9"/>
  <c r="AK45" i="9"/>
  <c r="AK52" i="9"/>
  <c r="AK44" i="9"/>
  <c r="AK48" i="9"/>
  <c r="AK54" i="9"/>
  <c r="AK42" i="9"/>
  <c r="AK53" i="9"/>
  <c r="AK39" i="9"/>
  <c r="AK55" i="9"/>
  <c r="AK51" i="9"/>
  <c r="AK56" i="9"/>
  <c r="AK50" i="9"/>
  <c r="AK38" i="9"/>
  <c r="AK46" i="9"/>
  <c r="AK47" i="9"/>
  <c r="AK40" i="9"/>
  <c r="AG124" i="9"/>
  <c r="AG123" i="9"/>
  <c r="AG75" i="9" s="1"/>
  <c r="AG74" i="9" s="1"/>
  <c r="AG254" i="9" s="1"/>
  <c r="AH28" i="9"/>
  <c r="AH29" i="9" s="1"/>
  <c r="AH26" i="9"/>
  <c r="AH24" i="9"/>
  <c r="AH25" i="9" s="1"/>
  <c r="Z355" i="8"/>
  <c r="Z349" i="8" s="1"/>
  <c r="AI13" i="9"/>
  <c r="AI17" i="9"/>
  <c r="AJ18" i="9"/>
  <c r="AB158" i="8" s="1"/>
  <c r="Z356" i="8"/>
  <c r="Z350" i="8" s="1"/>
  <c r="Z353" i="8"/>
  <c r="Z347" i="8" s="1"/>
  <c r="Z354" i="8"/>
  <c r="Z348" i="8" s="1"/>
  <c r="AH125" i="9" s="1"/>
  <c r="Y352" i="8"/>
  <c r="Y347" i="8"/>
  <c r="AA341" i="8"/>
  <c r="AA342" i="8"/>
  <c r="AA343" i="8"/>
  <c r="AA344" i="8"/>
  <c r="AA337" i="8"/>
  <c r="AA335" i="8"/>
  <c r="AA338" i="8"/>
  <c r="AA336" i="8"/>
  <c r="AC329" i="8"/>
  <c r="AC240" i="8"/>
  <c r="AJ14" i="9"/>
  <c r="AL15" i="9" s="1"/>
  <c r="AB331" i="8"/>
  <c r="AJ12" i="9"/>
  <c r="AB330" i="8"/>
  <c r="AB332" i="8" s="1"/>
  <c r="AK11" i="9"/>
  <c r="AF272" i="8"/>
  <c r="AD294" i="8"/>
  <c r="AE274" i="8"/>
  <c r="AC296" i="8"/>
  <c r="AE273" i="8"/>
  <c r="AC295" i="8"/>
  <c r="AN55" i="8"/>
  <c r="AC242" i="8" s="1"/>
  <c r="AC155" i="8"/>
  <c r="AC184" i="8" s="1"/>
  <c r="AC129" i="8"/>
  <c r="AB157" i="8"/>
  <c r="AB186" i="8" s="1"/>
  <c r="AB131" i="8"/>
  <c r="AB156" i="8"/>
  <c r="AB185" i="8" s="1"/>
  <c r="AB130" i="8"/>
  <c r="AN54" i="8"/>
  <c r="AC241" i="8" s="1"/>
  <c r="AO53" i="8"/>
  <c r="E49" i="4"/>
  <c r="H52" i="4"/>
  <c r="J52" i="4" s="1"/>
  <c r="I51" i="4"/>
  <c r="K51" i="4" s="1"/>
  <c r="B51" i="4"/>
  <c r="D50" i="4"/>
  <c r="L50" i="4"/>
  <c r="C50" i="4"/>
  <c r="AE247" i="9" l="1"/>
  <c r="AE166" i="9"/>
  <c r="AE176" i="9" s="1"/>
  <c r="AE236" i="9" s="1"/>
  <c r="AE237" i="9" s="1"/>
  <c r="AF235" i="9" s="1"/>
  <c r="E50" i="4"/>
  <c r="AJ36" i="9"/>
  <c r="AJ94" i="9" s="1"/>
  <c r="AF174" i="9"/>
  <c r="AH141" i="9"/>
  <c r="AI22" i="9"/>
  <c r="AA160" i="8"/>
  <c r="AI139" i="9"/>
  <c r="AI282" i="9" s="1"/>
  <c r="AI287" i="9" s="1"/>
  <c r="AG65" i="9"/>
  <c r="AH27" i="9"/>
  <c r="AH64" i="9" s="1"/>
  <c r="AD119" i="9"/>
  <c r="AD246" i="9"/>
  <c r="AD250" i="9" s="1"/>
  <c r="AD85" i="9"/>
  <c r="AD86" i="9"/>
  <c r="AD57" i="9"/>
  <c r="AD84" i="9"/>
  <c r="AE35" i="9"/>
  <c r="AF23" i="9"/>
  <c r="AA333" i="8"/>
  <c r="AI140" i="9"/>
  <c r="AH61" i="9"/>
  <c r="AH79" i="9"/>
  <c r="AK36" i="9"/>
  <c r="AK249" i="9" s="1"/>
  <c r="AL53" i="9"/>
  <c r="AL41" i="9"/>
  <c r="AL52" i="9"/>
  <c r="AL54" i="9"/>
  <c r="AL43" i="9"/>
  <c r="AL56" i="9"/>
  <c r="AL40" i="9"/>
  <c r="AL50" i="9"/>
  <c r="AL48" i="9"/>
  <c r="AL55" i="9"/>
  <c r="AL47" i="9"/>
  <c r="AL45" i="9"/>
  <c r="AL44" i="9"/>
  <c r="AL51" i="9"/>
  <c r="AL46" i="9"/>
  <c r="AL37" i="9"/>
  <c r="AL42" i="9"/>
  <c r="AL49" i="9"/>
  <c r="AL39" i="9"/>
  <c r="AL38" i="9"/>
  <c r="AH124" i="9"/>
  <c r="AH123" i="9"/>
  <c r="AH75" i="9" s="1"/>
  <c r="AH74" i="9" s="1"/>
  <c r="AI28" i="9"/>
  <c r="AI29" i="9" s="1"/>
  <c r="AI26" i="9"/>
  <c r="AI24" i="9"/>
  <c r="AI25" i="9" s="1"/>
  <c r="AJ13" i="9"/>
  <c r="AJ17" i="9"/>
  <c r="AK18" i="9"/>
  <c r="AC158" i="8" s="1"/>
  <c r="AA354" i="8"/>
  <c r="AA348" i="8" s="1"/>
  <c r="AI125" i="9" s="1"/>
  <c r="Z352" i="8"/>
  <c r="AA353" i="8"/>
  <c r="AA347" i="8" s="1"/>
  <c r="AA356" i="8"/>
  <c r="AA350" i="8" s="1"/>
  <c r="AA355" i="8"/>
  <c r="AA349" i="8" s="1"/>
  <c r="AB344" i="8"/>
  <c r="AB343" i="8"/>
  <c r="AB342" i="8"/>
  <c r="AB341" i="8"/>
  <c r="AB335" i="8"/>
  <c r="AB336" i="8"/>
  <c r="AB338" i="8"/>
  <c r="AB337" i="8"/>
  <c r="AD329" i="8"/>
  <c r="AD240" i="8"/>
  <c r="AK14" i="9"/>
  <c r="AM15" i="9" s="1"/>
  <c r="AC331" i="8"/>
  <c r="AK12" i="9"/>
  <c r="AC330" i="8"/>
  <c r="AC332" i="8" s="1"/>
  <c r="AL11" i="9"/>
  <c r="AG272" i="8"/>
  <c r="AE294" i="8"/>
  <c r="AF273" i="8"/>
  <c r="AD295" i="8"/>
  <c r="AF274" i="8"/>
  <c r="AD296" i="8"/>
  <c r="AO55" i="8"/>
  <c r="AD242" i="8" s="1"/>
  <c r="AD155" i="8"/>
  <c r="AD184" i="8" s="1"/>
  <c r="AD129" i="8"/>
  <c r="AC156" i="8"/>
  <c r="AC185" i="8" s="1"/>
  <c r="AC130" i="8"/>
  <c r="AC157" i="8"/>
  <c r="AC186" i="8" s="1"/>
  <c r="AC131" i="8"/>
  <c r="AP53" i="8"/>
  <c r="AO54" i="8"/>
  <c r="AD241" i="8" s="1"/>
  <c r="D51" i="4"/>
  <c r="L51" i="4"/>
  <c r="C51" i="4"/>
  <c r="H53" i="4"/>
  <c r="J53" i="4" s="1"/>
  <c r="I52" i="4"/>
  <c r="K52" i="4" s="1"/>
  <c r="B52" i="4"/>
  <c r="AJ249" i="9" l="1"/>
  <c r="AH254" i="9"/>
  <c r="AF247" i="9"/>
  <c r="AF166" i="9"/>
  <c r="AF176" i="9" s="1"/>
  <c r="AF236" i="9" s="1"/>
  <c r="AF237" i="9" s="1"/>
  <c r="AG235" i="9" s="1"/>
  <c r="AG174" i="9"/>
  <c r="AJ22" i="9"/>
  <c r="AB160" i="8"/>
  <c r="AJ139" i="9"/>
  <c r="AJ282" i="9" s="1"/>
  <c r="AJ287" i="9" s="1"/>
  <c r="AI27" i="9"/>
  <c r="AI64" i="9" s="1"/>
  <c r="AH65" i="9"/>
  <c r="AE119" i="9"/>
  <c r="AE246" i="9"/>
  <c r="AE250" i="9" s="1"/>
  <c r="AK94" i="9"/>
  <c r="AE85" i="9"/>
  <c r="AE86" i="9"/>
  <c r="AE57" i="9"/>
  <c r="AE84" i="9"/>
  <c r="AG23" i="9"/>
  <c r="AF35" i="9"/>
  <c r="AI141" i="9"/>
  <c r="AB333" i="8"/>
  <c r="AJ140" i="9"/>
  <c r="AI61" i="9"/>
  <c r="AI79" i="9"/>
  <c r="AL36" i="9"/>
  <c r="AM42" i="9"/>
  <c r="AM48" i="9"/>
  <c r="AM43" i="9"/>
  <c r="AM49" i="9"/>
  <c r="AM54" i="9"/>
  <c r="AM45" i="9"/>
  <c r="AM38" i="9"/>
  <c r="AM46" i="9"/>
  <c r="AM37" i="9"/>
  <c r="AM52" i="9"/>
  <c r="AM53" i="9"/>
  <c r="AM39" i="9"/>
  <c r="AM40" i="9"/>
  <c r="AM41" i="9"/>
  <c r="AM44" i="9"/>
  <c r="AM47" i="9"/>
  <c r="AM55" i="9"/>
  <c r="AM51" i="9"/>
  <c r="AM56" i="9"/>
  <c r="AM50" i="9"/>
  <c r="AI124" i="9"/>
  <c r="AI123" i="9"/>
  <c r="AI75" i="9" s="1"/>
  <c r="AI74" i="9" s="1"/>
  <c r="AJ28" i="9"/>
  <c r="AJ29" i="9" s="1"/>
  <c r="AJ26" i="9"/>
  <c r="AJ24" i="9"/>
  <c r="AJ25" i="9" s="1"/>
  <c r="AK13" i="9"/>
  <c r="AK17" i="9"/>
  <c r="AL18" i="9"/>
  <c r="AD158" i="8" s="1"/>
  <c r="AB355" i="8"/>
  <c r="AB349" i="8" s="1"/>
  <c r="AA352" i="8"/>
  <c r="AB356" i="8"/>
  <c r="AB350" i="8" s="1"/>
  <c r="AB354" i="8"/>
  <c r="AB348" i="8" s="1"/>
  <c r="AJ125" i="9" s="1"/>
  <c r="AB353" i="8"/>
  <c r="AB347" i="8" s="1"/>
  <c r="AC344" i="8"/>
  <c r="AC343" i="8"/>
  <c r="AC342" i="8"/>
  <c r="AC341" i="8"/>
  <c r="AC336" i="8"/>
  <c r="AC338" i="8"/>
  <c r="AC335" i="8"/>
  <c r="AC337" i="8"/>
  <c r="AE329" i="8"/>
  <c r="AE240" i="8"/>
  <c r="AL14" i="9"/>
  <c r="AD331" i="8"/>
  <c r="AL12" i="9"/>
  <c r="AD330" i="8"/>
  <c r="AD332" i="8" s="1"/>
  <c r="AM11" i="9"/>
  <c r="AM18" i="9" s="1"/>
  <c r="AG273" i="8"/>
  <c r="AE295" i="8"/>
  <c r="AH272" i="8"/>
  <c r="AF294" i="8"/>
  <c r="AG274" i="8"/>
  <c r="AE296" i="8"/>
  <c r="E51" i="4"/>
  <c r="AD156" i="8"/>
  <c r="AD185" i="8" s="1"/>
  <c r="AD130" i="8"/>
  <c r="AP55" i="8"/>
  <c r="AE242" i="8" s="1"/>
  <c r="AE155" i="8"/>
  <c r="AE184" i="8" s="1"/>
  <c r="AE129" i="8"/>
  <c r="AD157" i="8"/>
  <c r="AD186" i="8" s="1"/>
  <c r="AD131" i="8"/>
  <c r="AQ53" i="8"/>
  <c r="AP54" i="8"/>
  <c r="AE241" i="8" s="1"/>
  <c r="H54" i="4"/>
  <c r="J54" i="4" s="1"/>
  <c r="I53" i="4"/>
  <c r="K53" i="4" s="1"/>
  <c r="B53" i="4"/>
  <c r="D52" i="4"/>
  <c r="L52" i="4"/>
  <c r="C52" i="4"/>
  <c r="AI254" i="9" l="1"/>
  <c r="AG247" i="9"/>
  <c r="AG166" i="9"/>
  <c r="AG176" i="9" s="1"/>
  <c r="AG236" i="9" s="1"/>
  <c r="AG237" i="9" s="1"/>
  <c r="AH235" i="9" s="1"/>
  <c r="AH174" i="9"/>
  <c r="AN15" i="9"/>
  <c r="AN42" i="9" s="1"/>
  <c r="AK22" i="9"/>
  <c r="AC160" i="8"/>
  <c r="AK139" i="9"/>
  <c r="AK282" i="9" s="1"/>
  <c r="AK287" i="9" s="1"/>
  <c r="AI65" i="9"/>
  <c r="AJ27" i="9"/>
  <c r="AJ64" i="9" s="1"/>
  <c r="AF119" i="9"/>
  <c r="AF246" i="9"/>
  <c r="AF250" i="9" s="1"/>
  <c r="AL94" i="9"/>
  <c r="AL249" i="9"/>
  <c r="AF85" i="9"/>
  <c r="AF86" i="9"/>
  <c r="AF57" i="9"/>
  <c r="AF84" i="9"/>
  <c r="AG35" i="9"/>
  <c r="AH23" i="9"/>
  <c r="AC333" i="8"/>
  <c r="AK140" i="9"/>
  <c r="AJ141" i="9"/>
  <c r="AJ61" i="9"/>
  <c r="AJ79" i="9"/>
  <c r="AM36" i="9"/>
  <c r="AJ123" i="9"/>
  <c r="AJ75" i="9" s="1"/>
  <c r="AJ74" i="9" s="1"/>
  <c r="AJ124" i="9"/>
  <c r="AK28" i="9"/>
  <c r="AK29" i="9" s="1"/>
  <c r="AK24" i="9"/>
  <c r="AK25" i="9" s="1"/>
  <c r="AK26" i="9"/>
  <c r="AL13" i="9"/>
  <c r="AL17" i="9"/>
  <c r="AE158" i="8"/>
  <c r="AC356" i="8"/>
  <c r="AC350" i="8" s="1"/>
  <c r="AC355" i="8"/>
  <c r="AC349" i="8" s="1"/>
  <c r="AC353" i="8"/>
  <c r="AC354" i="8"/>
  <c r="AC348" i="8" s="1"/>
  <c r="AK125" i="9" s="1"/>
  <c r="AB352" i="8"/>
  <c r="AD341" i="8"/>
  <c r="AD344" i="8"/>
  <c r="AD342" i="8"/>
  <c r="AD343" i="8"/>
  <c r="AD335" i="8"/>
  <c r="AD336" i="8"/>
  <c r="AD337" i="8"/>
  <c r="AD338" i="8"/>
  <c r="AF329" i="8"/>
  <c r="AF240" i="8"/>
  <c r="AM14" i="9"/>
  <c r="AO15" i="9" s="1"/>
  <c r="AE331" i="8"/>
  <c r="AM12" i="9"/>
  <c r="AE330" i="8"/>
  <c r="AE332" i="8" s="1"/>
  <c r="AN11" i="9"/>
  <c r="AH274" i="8"/>
  <c r="AF296" i="8"/>
  <c r="AI272" i="8"/>
  <c r="AG294" i="8"/>
  <c r="AH273" i="8"/>
  <c r="AF295" i="8"/>
  <c r="AE157" i="8"/>
  <c r="AE186" i="8" s="1"/>
  <c r="AE131" i="8"/>
  <c r="AQ55" i="8"/>
  <c r="AF242" i="8" s="1"/>
  <c r="AF155" i="8"/>
  <c r="AF184" i="8" s="1"/>
  <c r="AF129" i="8"/>
  <c r="AE156" i="8"/>
  <c r="AE185" i="8" s="1"/>
  <c r="AE130" i="8"/>
  <c r="AR53" i="8"/>
  <c r="AQ54" i="8"/>
  <c r="AF241" i="8" s="1"/>
  <c r="E52" i="4"/>
  <c r="D53" i="4"/>
  <c r="L53" i="4"/>
  <c r="C53" i="4"/>
  <c r="I54" i="4"/>
  <c r="K54" i="4" s="1"/>
  <c r="Y351" i="8" s="1"/>
  <c r="Y346" i="8" s="1"/>
  <c r="B54" i="4"/>
  <c r="AN41" i="9" l="1"/>
  <c r="AN54" i="9"/>
  <c r="AN51" i="9"/>
  <c r="AN46" i="9"/>
  <c r="AN47" i="9"/>
  <c r="AN45" i="9"/>
  <c r="AN40" i="9"/>
  <c r="AN56" i="9"/>
  <c r="AJ254" i="9"/>
  <c r="AN53" i="9"/>
  <c r="AN49" i="9"/>
  <c r="AN50" i="9"/>
  <c r="AN44" i="9"/>
  <c r="AN39" i="9"/>
  <c r="AG145" i="9"/>
  <c r="AG293" i="9" s="1"/>
  <c r="AK27" i="9"/>
  <c r="AK65" i="9" s="1"/>
  <c r="AJ65" i="9"/>
  <c r="AN38" i="9"/>
  <c r="AN55" i="9"/>
  <c r="AN43" i="9"/>
  <c r="AN48" i="9"/>
  <c r="AH247" i="9"/>
  <c r="AH166" i="9"/>
  <c r="AH176" i="9" s="1"/>
  <c r="AH236" i="9" s="1"/>
  <c r="AH237" i="9" s="1"/>
  <c r="AI235" i="9" s="1"/>
  <c r="AI174" i="9"/>
  <c r="AN52" i="9"/>
  <c r="AN37" i="9"/>
  <c r="AL22" i="9"/>
  <c r="AD160" i="8"/>
  <c r="AL139" i="9"/>
  <c r="AL282" i="9" s="1"/>
  <c r="AL287" i="9" s="1"/>
  <c r="AK141" i="9"/>
  <c r="AG119" i="9"/>
  <c r="AG246" i="9"/>
  <c r="AG250" i="9" s="1"/>
  <c r="AM94" i="9"/>
  <c r="AM249" i="9"/>
  <c r="AB351" i="8"/>
  <c r="AB346" i="8" s="1"/>
  <c r="Z351" i="8"/>
  <c r="Z346" i="8" s="1"/>
  <c r="AC351" i="8"/>
  <c r="AD351" i="8"/>
  <c r="AA351" i="8"/>
  <c r="AA346" i="8" s="1"/>
  <c r="AG85" i="9"/>
  <c r="AG86" i="9"/>
  <c r="AG57" i="9"/>
  <c r="AG84" i="9"/>
  <c r="AI23" i="9"/>
  <c r="AH35" i="9"/>
  <c r="AE351" i="8"/>
  <c r="AL140" i="9"/>
  <c r="AD333" i="8"/>
  <c r="AK61" i="9"/>
  <c r="AK79" i="9"/>
  <c r="AO55" i="9"/>
  <c r="AO56" i="9"/>
  <c r="AO47" i="9"/>
  <c r="AO45" i="9"/>
  <c r="AO37" i="9"/>
  <c r="AO44" i="9"/>
  <c r="AO38" i="9"/>
  <c r="AO53" i="9"/>
  <c r="AO41" i="9"/>
  <c r="AO46" i="9"/>
  <c r="AO42" i="9"/>
  <c r="AO49" i="9"/>
  <c r="AO39" i="9"/>
  <c r="AO48" i="9"/>
  <c r="AO40" i="9"/>
  <c r="AO51" i="9"/>
  <c r="AO50" i="9"/>
  <c r="AO52" i="9"/>
  <c r="AO43" i="9"/>
  <c r="AO54" i="9"/>
  <c r="AK123" i="9"/>
  <c r="AK75" i="9" s="1"/>
  <c r="AK74" i="9" s="1"/>
  <c r="AK124" i="9"/>
  <c r="AL28" i="9"/>
  <c r="AL29" i="9" s="1"/>
  <c r="AL26" i="9"/>
  <c r="AL24" i="9"/>
  <c r="AL25" i="9" s="1"/>
  <c r="AM13" i="9"/>
  <c r="AM17" i="9"/>
  <c r="AN18" i="9"/>
  <c r="AF158" i="8" s="1"/>
  <c r="AD355" i="8"/>
  <c r="AD349" i="8" s="1"/>
  <c r="AD354" i="8"/>
  <c r="AD348" i="8" s="1"/>
  <c r="AL125" i="9" s="1"/>
  <c r="AD356" i="8"/>
  <c r="AD350" i="8" s="1"/>
  <c r="AD353" i="8"/>
  <c r="AC352" i="8"/>
  <c r="AC347" i="8"/>
  <c r="AE343" i="8"/>
  <c r="AE341" i="8"/>
  <c r="AE344" i="8"/>
  <c r="AE342" i="8"/>
  <c r="AE336" i="8"/>
  <c r="AE338" i="8"/>
  <c r="AE337" i="8"/>
  <c r="AE335" i="8"/>
  <c r="AG329" i="8"/>
  <c r="AG240" i="8"/>
  <c r="AN12" i="9"/>
  <c r="AF330" i="8"/>
  <c r="AF332" i="8" s="1"/>
  <c r="AN14" i="9"/>
  <c r="AF331" i="8"/>
  <c r="AO11" i="9"/>
  <c r="AI274" i="8"/>
  <c r="AG296" i="8"/>
  <c r="AJ272" i="8"/>
  <c r="AH294" i="8"/>
  <c r="AI273" i="8"/>
  <c r="AG295" i="8"/>
  <c r="E53" i="4"/>
  <c r="AF157" i="8"/>
  <c r="AF186" i="8" s="1"/>
  <c r="AF131" i="8"/>
  <c r="AF130" i="8"/>
  <c r="AF156" i="8"/>
  <c r="AF185" i="8" s="1"/>
  <c r="AG155" i="8"/>
  <c r="AG184" i="8" s="1"/>
  <c r="AG129" i="8"/>
  <c r="AR54" i="8"/>
  <c r="AG241" i="8" s="1"/>
  <c r="AR55" i="8"/>
  <c r="AG242" i="8" s="1"/>
  <c r="C54" i="4"/>
  <c r="D54" i="4"/>
  <c r="L54" i="4"/>
  <c r="AK64" i="9" l="1"/>
  <c r="AL27" i="9"/>
  <c r="AL65" i="9" s="1"/>
  <c r="AI145" i="9"/>
  <c r="AI293" i="9" s="1"/>
  <c r="AH145" i="9"/>
  <c r="AH293" i="9" s="1"/>
  <c r="AJ145" i="9"/>
  <c r="AJ293" i="9" s="1"/>
  <c r="AL141" i="9"/>
  <c r="AN36" i="9"/>
  <c r="AN94" i="9" s="1"/>
  <c r="AK254" i="9"/>
  <c r="AI247" i="9"/>
  <c r="AI166" i="9"/>
  <c r="AI176" i="9" s="1"/>
  <c r="AI236" i="9" s="1"/>
  <c r="AI237" i="9" s="1"/>
  <c r="AJ235" i="9" s="1"/>
  <c r="AJ174" i="9"/>
  <c r="AM22" i="9"/>
  <c r="AE160" i="8"/>
  <c r="AM139" i="9"/>
  <c r="AM282" i="9" s="1"/>
  <c r="AM287" i="9" s="1"/>
  <c r="AH119" i="9"/>
  <c r="AH246" i="9"/>
  <c r="AH250" i="9" s="1"/>
  <c r="AH85" i="9"/>
  <c r="AH86" i="9"/>
  <c r="AH57" i="9"/>
  <c r="AH84" i="9"/>
  <c r="AJ23" i="9"/>
  <c r="AI35" i="9"/>
  <c r="AF351" i="8"/>
  <c r="AC346" i="8"/>
  <c r="AE333" i="8"/>
  <c r="AM140" i="9"/>
  <c r="AE355" i="8"/>
  <c r="AE349" i="8" s="1"/>
  <c r="AL61" i="9"/>
  <c r="AL79" i="9"/>
  <c r="AO36" i="9"/>
  <c r="AO249" i="9" s="1"/>
  <c r="AL123" i="9"/>
  <c r="AL75" i="9" s="1"/>
  <c r="AL74" i="9" s="1"/>
  <c r="AL124" i="9"/>
  <c r="AM24" i="9"/>
  <c r="AM25" i="9" s="1"/>
  <c r="AM28" i="9"/>
  <c r="AM29" i="9" s="1"/>
  <c r="AM26" i="9"/>
  <c r="AN13" i="9"/>
  <c r="AN17" i="9"/>
  <c r="AO18" i="9"/>
  <c r="AE353" i="8"/>
  <c r="AE347" i="8" s="1"/>
  <c r="AE354" i="8"/>
  <c r="AE348" i="8" s="1"/>
  <c r="AM125" i="9" s="1"/>
  <c r="AE356" i="8"/>
  <c r="AE350" i="8" s="1"/>
  <c r="AD347" i="8"/>
  <c r="AD352" i="8"/>
  <c r="AF341" i="8"/>
  <c r="AF344" i="8"/>
  <c r="AF342" i="8"/>
  <c r="AF343" i="8"/>
  <c r="AF337" i="8"/>
  <c r="AF335" i="8"/>
  <c r="AF353" i="8" s="1"/>
  <c r="AF336" i="8"/>
  <c r="AF338" i="8"/>
  <c r="AO14" i="9"/>
  <c r="G38" i="9" s="1"/>
  <c r="G100" i="9" s="1"/>
  <c r="AG331" i="8"/>
  <c r="AO12" i="9"/>
  <c r="AG330" i="8"/>
  <c r="AG332" i="8" s="1"/>
  <c r="AJ273" i="8"/>
  <c r="AH295" i="8"/>
  <c r="AJ274" i="8"/>
  <c r="AH296" i="8"/>
  <c r="E54" i="4"/>
  <c r="AA345" i="8" s="1"/>
  <c r="AA340" i="8" s="1"/>
  <c r="AI144" i="9" s="1"/>
  <c r="AG157" i="8"/>
  <c r="AG186" i="8" s="1"/>
  <c r="AG131" i="8"/>
  <c r="AG130" i="8"/>
  <c r="AG156" i="8"/>
  <c r="AG185" i="8" s="1"/>
  <c r="AL64" i="9" l="1"/>
  <c r="AM27" i="9"/>
  <c r="AN249" i="9"/>
  <c r="AK145" i="9"/>
  <c r="AK293" i="9" s="1"/>
  <c r="AL254" i="9"/>
  <c r="P100" i="9"/>
  <c r="AM100" i="9"/>
  <c r="AD100" i="9"/>
  <c r="Z100" i="9"/>
  <c r="AJ100" i="9"/>
  <c r="AN100" i="9"/>
  <c r="AL100" i="9"/>
  <c r="AA100" i="9"/>
  <c r="U100" i="9"/>
  <c r="AG100" i="9"/>
  <c r="AO100" i="9"/>
  <c r="Y100" i="9"/>
  <c r="AF100" i="9"/>
  <c r="AC100" i="9"/>
  <c r="O100" i="9"/>
  <c r="M100" i="9"/>
  <c r="L100" i="9"/>
  <c r="V100" i="9"/>
  <c r="R100" i="9"/>
  <c r="N100" i="9"/>
  <c r="AH100" i="9"/>
  <c r="AE100" i="9"/>
  <c r="T100" i="9"/>
  <c r="X100" i="9"/>
  <c r="W100" i="9"/>
  <c r="AB100" i="9"/>
  <c r="AK100" i="9"/>
  <c r="S100" i="9"/>
  <c r="Q100" i="9"/>
  <c r="AI100" i="9"/>
  <c r="G55" i="9"/>
  <c r="G117" i="9" s="1"/>
  <c r="Z117" i="9" s="1"/>
  <c r="G39" i="9"/>
  <c r="G101" i="9" s="1"/>
  <c r="G37" i="9"/>
  <c r="G99" i="9" s="1"/>
  <c r="G40" i="9"/>
  <c r="G102" i="9" s="1"/>
  <c r="G41" i="9"/>
  <c r="G103" i="9" s="1"/>
  <c r="G44" i="9"/>
  <c r="G106" i="9" s="1"/>
  <c r="G42" i="9"/>
  <c r="G104" i="9" s="1"/>
  <c r="G43" i="9"/>
  <c r="G105" i="9" s="1"/>
  <c r="AB345" i="8"/>
  <c r="AB340" i="8" s="1"/>
  <c r="AJ144" i="9" s="1"/>
  <c r="AJ146" i="9" s="1"/>
  <c r="AJ148" i="9" s="1"/>
  <c r="F85" i="11"/>
  <c r="I85" i="11"/>
  <c r="J85" i="11"/>
  <c r="K85" i="11"/>
  <c r="L85" i="11"/>
  <c r="AJ247" i="9"/>
  <c r="AJ166" i="9"/>
  <c r="AJ176" i="9" s="1"/>
  <c r="AJ236" i="9" s="1"/>
  <c r="AJ237" i="9" s="1"/>
  <c r="AK235" i="9" s="1"/>
  <c r="AK174" i="9"/>
  <c r="AN22" i="9"/>
  <c r="AF160" i="8"/>
  <c r="H18" i="8"/>
  <c r="AR14" i="9"/>
  <c r="K236" i="9"/>
  <c r="E115" i="12" s="1"/>
  <c r="E116" i="12" s="1"/>
  <c r="AG158" i="8"/>
  <c r="AN139" i="9"/>
  <c r="AN282" i="9" s="1"/>
  <c r="AN287" i="9" s="1"/>
  <c r="AI146" i="9"/>
  <c r="AI148" i="9" s="1"/>
  <c r="AI292" i="9"/>
  <c r="AI294" i="9" s="1"/>
  <c r="AI296" i="9" s="1"/>
  <c r="K249" i="9"/>
  <c r="E124" i="12" s="1"/>
  <c r="AI119" i="9"/>
  <c r="AI246" i="9"/>
  <c r="AI250" i="9" s="1"/>
  <c r="K255" i="9"/>
  <c r="E130" i="12" s="1"/>
  <c r="K274" i="9"/>
  <c r="E149" i="12" s="1"/>
  <c r="K284" i="9"/>
  <c r="E159" i="12" s="1"/>
  <c r="K290" i="9"/>
  <c r="E165" i="12" s="1"/>
  <c r="K275" i="9"/>
  <c r="E150" i="12" s="1"/>
  <c r="K205" i="9"/>
  <c r="K286" i="9"/>
  <c r="E161" i="12" s="1"/>
  <c r="K184" i="9"/>
  <c r="E83" i="12" s="1"/>
  <c r="K191" i="9"/>
  <c r="E90" i="12" s="1"/>
  <c r="K183" i="9"/>
  <c r="E82" i="12" s="1"/>
  <c r="K182" i="9"/>
  <c r="E81" i="12" s="1"/>
  <c r="K201" i="9"/>
  <c r="K207" i="9"/>
  <c r="K162" i="9"/>
  <c r="E61" i="12" s="1"/>
  <c r="K272" i="9"/>
  <c r="E147" i="12" s="1"/>
  <c r="K247" i="9"/>
  <c r="E122" i="12" s="1"/>
  <c r="K163" i="9"/>
  <c r="E62" i="12" s="1"/>
  <c r="K265" i="9"/>
  <c r="E140" i="12" s="1"/>
  <c r="K204" i="9"/>
  <c r="K225" i="9"/>
  <c r="K219" i="9"/>
  <c r="E108" i="12" s="1"/>
  <c r="K227" i="9"/>
  <c r="K181" i="9"/>
  <c r="E80" i="12" s="1"/>
  <c r="K209" i="9"/>
  <c r="K222" i="9"/>
  <c r="K171" i="9"/>
  <c r="E70" i="12" s="1"/>
  <c r="K164" i="9"/>
  <c r="E63" i="12" s="1"/>
  <c r="K267" i="9"/>
  <c r="E142" i="12" s="1"/>
  <c r="K217" i="9"/>
  <c r="E106" i="12" s="1"/>
  <c r="K203" i="9"/>
  <c r="K169" i="9"/>
  <c r="E68" i="12" s="1"/>
  <c r="K266" i="9"/>
  <c r="E141" i="12" s="1"/>
  <c r="K200" i="9"/>
  <c r="K208" i="9"/>
  <c r="K273" i="9"/>
  <c r="E148" i="12" s="1"/>
  <c r="K210" i="9"/>
  <c r="E99" i="12" s="1"/>
  <c r="K213" i="9"/>
  <c r="E102" i="12" s="1"/>
  <c r="K180" i="9"/>
  <c r="E79" i="12" s="1"/>
  <c r="K173" i="9"/>
  <c r="E72" i="12" s="1"/>
  <c r="K283" i="9"/>
  <c r="E158" i="12" s="1"/>
  <c r="K206" i="9"/>
  <c r="K172" i="9"/>
  <c r="E71" i="12" s="1"/>
  <c r="K189" i="9"/>
  <c r="E88" i="12" s="1"/>
  <c r="K264" i="9"/>
  <c r="E139" i="12" s="1"/>
  <c r="K220" i="9"/>
  <c r="K192" i="9"/>
  <c r="E91" i="12" s="1"/>
  <c r="K229" i="9"/>
  <c r="K268" i="9"/>
  <c r="E143" i="12" s="1"/>
  <c r="K224" i="9"/>
  <c r="K202" i="9"/>
  <c r="K223" i="9"/>
  <c r="K199" i="9"/>
  <c r="E98" i="12" s="1"/>
  <c r="K291" i="9"/>
  <c r="E166" i="12" s="1"/>
  <c r="K190" i="9"/>
  <c r="E89" i="12" s="1"/>
  <c r="K188" i="9"/>
  <c r="E87" i="12" s="1"/>
  <c r="K165" i="9"/>
  <c r="E64" i="12" s="1"/>
  <c r="K226" i="9"/>
  <c r="K285" i="9"/>
  <c r="E160" i="12" s="1"/>
  <c r="K218" i="9"/>
  <c r="E107" i="12" s="1"/>
  <c r="K248" i="9"/>
  <c r="E123" i="12" s="1"/>
  <c r="K211" i="9"/>
  <c r="E100" i="12" s="1"/>
  <c r="K221" i="9"/>
  <c r="K228" i="9"/>
  <c r="K170" i="9"/>
  <c r="E69" i="12" s="1"/>
  <c r="K212" i="9"/>
  <c r="E101" i="12" s="1"/>
  <c r="AO94" i="9"/>
  <c r="D345" i="8"/>
  <c r="E345" i="8"/>
  <c r="E340" i="8" s="1"/>
  <c r="M144" i="9" s="1"/>
  <c r="M292" i="9" s="1"/>
  <c r="F345" i="8"/>
  <c r="F340" i="8" s="1"/>
  <c r="N144" i="9" s="1"/>
  <c r="N292" i="9" s="1"/>
  <c r="Y345" i="8"/>
  <c r="Y340" i="8" s="1"/>
  <c r="AG144" i="9" s="1"/>
  <c r="AF345" i="8"/>
  <c r="AF340" i="8" s="1"/>
  <c r="AN144" i="9" s="1"/>
  <c r="AN292" i="9" s="1"/>
  <c r="AC345" i="8"/>
  <c r="AC340" i="8" s="1"/>
  <c r="AK144" i="9" s="1"/>
  <c r="AD345" i="8"/>
  <c r="AD340" i="8" s="1"/>
  <c r="AL144" i="9" s="1"/>
  <c r="AL292" i="9" s="1"/>
  <c r="Z345" i="8"/>
  <c r="Z340" i="8" s="1"/>
  <c r="AH144" i="9" s="1"/>
  <c r="AE345" i="8"/>
  <c r="AE340" i="8" s="1"/>
  <c r="AM144" i="9" s="1"/>
  <c r="AM292" i="9" s="1"/>
  <c r="AI85" i="9"/>
  <c r="AI86" i="9"/>
  <c r="AI57" i="9"/>
  <c r="AI84" i="9"/>
  <c r="AK23" i="9"/>
  <c r="AJ35" i="9"/>
  <c r="G48" i="9"/>
  <c r="G110" i="9" s="1"/>
  <c r="G51" i="9"/>
  <c r="G113" i="9" s="1"/>
  <c r="G49" i="9"/>
  <c r="G111" i="9" s="1"/>
  <c r="G45" i="9"/>
  <c r="G107" i="9" s="1"/>
  <c r="G52" i="9"/>
  <c r="G114" i="9" s="1"/>
  <c r="G46" i="9"/>
  <c r="G108" i="9" s="1"/>
  <c r="G56" i="9"/>
  <c r="G118" i="9" s="1"/>
  <c r="G53" i="9"/>
  <c r="G115" i="9" s="1"/>
  <c r="G47" i="9"/>
  <c r="G109" i="9" s="1"/>
  <c r="G54" i="9"/>
  <c r="G116" i="9" s="1"/>
  <c r="G50" i="9"/>
  <c r="G112" i="9" s="1"/>
  <c r="AD346" i="8"/>
  <c r="AL145" i="9" s="1"/>
  <c r="AG351" i="8"/>
  <c r="AG345" i="8"/>
  <c r="AE346" i="8"/>
  <c r="AM145" i="9" s="1"/>
  <c r="AF333" i="8"/>
  <c r="AM141" i="9"/>
  <c r="AN140" i="9"/>
  <c r="AM61" i="9"/>
  <c r="AM79" i="9"/>
  <c r="K132" i="9"/>
  <c r="E35" i="12" s="1"/>
  <c r="E36" i="12" s="1"/>
  <c r="E38" i="12" s="1"/>
  <c r="E36" i="11" s="1"/>
  <c r="K133" i="9"/>
  <c r="K135" i="9"/>
  <c r="AM124" i="9"/>
  <c r="AM123" i="9"/>
  <c r="AM75" i="9" s="1"/>
  <c r="AM74" i="9" s="1"/>
  <c r="AM64" i="9"/>
  <c r="AM65" i="9"/>
  <c r="K36" i="9"/>
  <c r="E17" i="12" s="1"/>
  <c r="K124" i="9"/>
  <c r="E27" i="12" s="1"/>
  <c r="K66" i="9"/>
  <c r="K68" i="9"/>
  <c r="K65" i="9"/>
  <c r="K123" i="9"/>
  <c r="E26" i="12" s="1"/>
  <c r="K71" i="9"/>
  <c r="K67" i="9"/>
  <c r="K69" i="9"/>
  <c r="K70" i="9"/>
  <c r="K74" i="9"/>
  <c r="E22" i="12" s="1"/>
  <c r="K62" i="9"/>
  <c r="K72" i="9"/>
  <c r="AN24" i="9"/>
  <c r="AN25" i="9" s="1"/>
  <c r="AN28" i="9"/>
  <c r="AN29" i="9" s="1"/>
  <c r="AN26" i="9"/>
  <c r="AN27" i="9" s="1"/>
  <c r="AF356" i="8"/>
  <c r="AF350" i="8" s="1"/>
  <c r="AO13" i="9"/>
  <c r="AO17" i="9"/>
  <c r="AE352" i="8"/>
  <c r="AF355" i="8"/>
  <c r="AF349" i="8" s="1"/>
  <c r="AF347" i="8"/>
  <c r="AF354" i="8"/>
  <c r="AG343" i="8"/>
  <c r="AH343" i="8" s="1"/>
  <c r="AG344" i="8"/>
  <c r="AH344" i="8" s="1"/>
  <c r="AG341" i="8"/>
  <c r="AG342" i="8"/>
  <c r="AH342" i="8" s="1"/>
  <c r="AG337" i="8"/>
  <c r="AG338" i="8"/>
  <c r="AG335" i="8"/>
  <c r="AG336" i="8"/>
  <c r="AB117" i="9" l="1"/>
  <c r="AM117" i="9"/>
  <c r="AA117" i="9"/>
  <c r="Y117" i="9"/>
  <c r="AL117" i="9"/>
  <c r="AG160" i="8"/>
  <c r="L18" i="11" s="1"/>
  <c r="F28" i="12"/>
  <c r="H28" i="12"/>
  <c r="I28" i="12"/>
  <c r="N28" i="12"/>
  <c r="K28" i="12"/>
  <c r="J28" i="12"/>
  <c r="L28" i="12"/>
  <c r="AN141" i="9"/>
  <c r="AC117" i="9"/>
  <c r="AG117" i="9"/>
  <c r="W117" i="9"/>
  <c r="AE117" i="9"/>
  <c r="AF117" i="9"/>
  <c r="AI117" i="9"/>
  <c r="T117" i="9"/>
  <c r="V117" i="9"/>
  <c r="P117" i="9"/>
  <c r="S117" i="9"/>
  <c r="AH117" i="9"/>
  <c r="R117" i="9"/>
  <c r="AK117" i="9"/>
  <c r="X117" i="9"/>
  <c r="Q117" i="9"/>
  <c r="AO117" i="9"/>
  <c r="L117" i="9"/>
  <c r="N117" i="9"/>
  <c r="O117" i="9"/>
  <c r="AD117" i="9"/>
  <c r="AN117" i="9"/>
  <c r="M117" i="9"/>
  <c r="U117" i="9"/>
  <c r="AJ117" i="9"/>
  <c r="AM254" i="9"/>
  <c r="L129" i="12" s="1"/>
  <c r="R106" i="9"/>
  <c r="Z106" i="9"/>
  <c r="Q106" i="9"/>
  <c r="AF106" i="9"/>
  <c r="O106" i="9"/>
  <c r="S106" i="9"/>
  <c r="AL106" i="9"/>
  <c r="AA106" i="9"/>
  <c r="P106" i="9"/>
  <c r="AO106" i="9"/>
  <c r="W106" i="9"/>
  <c r="AI106" i="9"/>
  <c r="AE106" i="9"/>
  <c r="T106" i="9"/>
  <c r="U106" i="9"/>
  <c r="AB106" i="9"/>
  <c r="L106" i="9"/>
  <c r="V106" i="9"/>
  <c r="AK106" i="9"/>
  <c r="N106" i="9"/>
  <c r="AH106" i="9"/>
  <c r="AC106" i="9"/>
  <c r="M106" i="9"/>
  <c r="Y106" i="9"/>
  <c r="X106" i="9"/>
  <c r="AD106" i="9"/>
  <c r="AJ106" i="9"/>
  <c r="AN106" i="9"/>
  <c r="AM106" i="9"/>
  <c r="AG106" i="9"/>
  <c r="P102" i="9"/>
  <c r="AC102" i="9"/>
  <c r="AA102" i="9"/>
  <c r="M102" i="9"/>
  <c r="AE102" i="9"/>
  <c r="S102" i="9"/>
  <c r="W102" i="9"/>
  <c r="U102" i="9"/>
  <c r="AK102" i="9"/>
  <c r="V102" i="9"/>
  <c r="T102" i="9"/>
  <c r="AJ102" i="9"/>
  <c r="Z102" i="9"/>
  <c r="O102" i="9"/>
  <c r="R102" i="9"/>
  <c r="L102" i="9"/>
  <c r="AI102" i="9"/>
  <c r="Q102" i="9"/>
  <c r="X102" i="9"/>
  <c r="N102" i="9"/>
  <c r="AF102" i="9"/>
  <c r="AL102" i="9"/>
  <c r="AN102" i="9"/>
  <c r="AM102" i="9"/>
  <c r="AB102" i="9"/>
  <c r="AH102" i="9"/>
  <c r="AG102" i="9"/>
  <c r="Y102" i="9"/>
  <c r="AD102" i="9"/>
  <c r="AO102" i="9"/>
  <c r="AO103" i="9"/>
  <c r="X103" i="9"/>
  <c r="AC103" i="9"/>
  <c r="U103" i="9"/>
  <c r="AA103" i="9"/>
  <c r="AI103" i="9"/>
  <c r="R103" i="9"/>
  <c r="AF103" i="9"/>
  <c r="T103" i="9"/>
  <c r="O103" i="9"/>
  <c r="M103" i="9"/>
  <c r="V103" i="9"/>
  <c r="Q103" i="9"/>
  <c r="W103" i="9"/>
  <c r="AJ103" i="9"/>
  <c r="AD103" i="9"/>
  <c r="L103" i="9"/>
  <c r="N103" i="9"/>
  <c r="Y103" i="9"/>
  <c r="Z103" i="9"/>
  <c r="AE103" i="9"/>
  <c r="AB103" i="9"/>
  <c r="AN103" i="9"/>
  <c r="AK103" i="9"/>
  <c r="AH103" i="9"/>
  <c r="AL103" i="9"/>
  <c r="S103" i="9"/>
  <c r="P103" i="9"/>
  <c r="AG103" i="9"/>
  <c r="AM103" i="9"/>
  <c r="Y99" i="9"/>
  <c r="AC99" i="9"/>
  <c r="AN99" i="9"/>
  <c r="AO99" i="9"/>
  <c r="AA99" i="9"/>
  <c r="AM99" i="9"/>
  <c r="AJ99" i="9"/>
  <c r="AE99" i="9"/>
  <c r="U99" i="9"/>
  <c r="Z99" i="9"/>
  <c r="AG99" i="9"/>
  <c r="W99" i="9"/>
  <c r="X99" i="9"/>
  <c r="R99" i="9"/>
  <c r="O99" i="9"/>
  <c r="N99" i="9"/>
  <c r="L99" i="9"/>
  <c r="AD99" i="9"/>
  <c r="AF99" i="9"/>
  <c r="M99" i="9"/>
  <c r="AI99" i="9"/>
  <c r="AL99" i="9"/>
  <c r="V99" i="9"/>
  <c r="P99" i="9"/>
  <c r="AH99" i="9"/>
  <c r="AK99" i="9"/>
  <c r="T99" i="9"/>
  <c r="AB99" i="9"/>
  <c r="Q99" i="9"/>
  <c r="S99" i="9"/>
  <c r="AG105" i="9"/>
  <c r="Q105" i="9"/>
  <c r="V105" i="9"/>
  <c r="AM105" i="9"/>
  <c r="AJ105" i="9"/>
  <c r="AO105" i="9"/>
  <c r="U105" i="9"/>
  <c r="N105" i="9"/>
  <c r="AK105" i="9"/>
  <c r="AA105" i="9"/>
  <c r="AN105" i="9"/>
  <c r="AE105" i="9"/>
  <c r="W105" i="9"/>
  <c r="T105" i="9"/>
  <c r="Z105" i="9"/>
  <c r="R105" i="9"/>
  <c r="O105" i="9"/>
  <c r="L105" i="9"/>
  <c r="S105" i="9"/>
  <c r="M105" i="9"/>
  <c r="AF105" i="9"/>
  <c r="AL105" i="9"/>
  <c r="AD105" i="9"/>
  <c r="Y105" i="9"/>
  <c r="X105" i="9"/>
  <c r="AB105" i="9"/>
  <c r="AC105" i="9"/>
  <c r="AH105" i="9"/>
  <c r="P105" i="9"/>
  <c r="AI105" i="9"/>
  <c r="U101" i="9"/>
  <c r="W101" i="9"/>
  <c r="P101" i="9"/>
  <c r="AM101" i="9"/>
  <c r="AE101" i="9"/>
  <c r="M101" i="9"/>
  <c r="AB101" i="9"/>
  <c r="O101" i="9"/>
  <c r="AL101" i="9"/>
  <c r="R101" i="9"/>
  <c r="AC101" i="9"/>
  <c r="Y101" i="9"/>
  <c r="AJ101" i="9"/>
  <c r="T101" i="9"/>
  <c r="AF101" i="9"/>
  <c r="V101" i="9"/>
  <c r="L101" i="9"/>
  <c r="AD101" i="9"/>
  <c r="AO101" i="9"/>
  <c r="AH101" i="9"/>
  <c r="S101" i="9"/>
  <c r="AK101" i="9"/>
  <c r="AA101" i="9"/>
  <c r="X101" i="9"/>
  <c r="AG101" i="9"/>
  <c r="Q101" i="9"/>
  <c r="AI101" i="9"/>
  <c r="AN101" i="9"/>
  <c r="N101" i="9"/>
  <c r="Z101" i="9"/>
  <c r="Y104" i="9"/>
  <c r="AL104" i="9"/>
  <c r="AI104" i="9"/>
  <c r="Q104" i="9"/>
  <c r="R104" i="9"/>
  <c r="AN104" i="9"/>
  <c r="Z104" i="9"/>
  <c r="S104" i="9"/>
  <c r="AM104" i="9"/>
  <c r="AA104" i="9"/>
  <c r="M104" i="9"/>
  <c r="P104" i="9"/>
  <c r="AB104" i="9"/>
  <c r="AC104" i="9"/>
  <c r="X104" i="9"/>
  <c r="O104" i="9"/>
  <c r="L104" i="9"/>
  <c r="AK104" i="9"/>
  <c r="AH104" i="9"/>
  <c r="T104" i="9"/>
  <c r="AF104" i="9"/>
  <c r="W104" i="9"/>
  <c r="AG104" i="9"/>
  <c r="AJ104" i="9"/>
  <c r="AE104" i="9"/>
  <c r="N104" i="9"/>
  <c r="AD104" i="9"/>
  <c r="AO104" i="9"/>
  <c r="U104" i="9"/>
  <c r="V104" i="9"/>
  <c r="E109" i="12"/>
  <c r="M69" i="12"/>
  <c r="AK247" i="9"/>
  <c r="AK166" i="9"/>
  <c r="AK176" i="9" s="1"/>
  <c r="AK236" i="9" s="1"/>
  <c r="AK237" i="9" s="1"/>
  <c r="AL235" i="9" s="1"/>
  <c r="AJ292" i="9"/>
  <c r="AJ294" i="9" s="1"/>
  <c r="AJ296" i="9" s="1"/>
  <c r="L68" i="12"/>
  <c r="AL174" i="9"/>
  <c r="N85" i="11"/>
  <c r="G85" i="11"/>
  <c r="H85" i="11"/>
  <c r="M85" i="11"/>
  <c r="N19" i="11"/>
  <c r="L19" i="11"/>
  <c r="J18" i="11"/>
  <c r="F19" i="11"/>
  <c r="G11" i="11"/>
  <c r="K19" i="11"/>
  <c r="G24" i="11"/>
  <c r="N28" i="11"/>
  <c r="F18" i="11"/>
  <c r="J15" i="11"/>
  <c r="M19" i="11"/>
  <c r="F16" i="11"/>
  <c r="K28" i="11"/>
  <c r="H16" i="11"/>
  <c r="I17" i="11"/>
  <c r="K30" i="11"/>
  <c r="N14" i="11"/>
  <c r="K16" i="11"/>
  <c r="M12" i="11"/>
  <c r="K26" i="11"/>
  <c r="G29" i="11"/>
  <c r="F30" i="11"/>
  <c r="J19" i="11"/>
  <c r="H27" i="11"/>
  <c r="N17" i="11"/>
  <c r="K20" i="11"/>
  <c r="M21" i="11"/>
  <c r="M18" i="11"/>
  <c r="F20" i="11"/>
  <c r="N12" i="11"/>
  <c r="H3" i="11"/>
  <c r="AL19" i="9"/>
  <c r="AD159" i="8" s="1"/>
  <c r="R19" i="9"/>
  <c r="J159" i="8" s="1"/>
  <c r="AO19" i="9"/>
  <c r="AG159" i="8" s="1"/>
  <c r="AC19" i="9"/>
  <c r="U159" i="8" s="1"/>
  <c r="AG19" i="9"/>
  <c r="Y159" i="8" s="1"/>
  <c r="T19" i="9"/>
  <c r="L159" i="8" s="1"/>
  <c r="AI19" i="9"/>
  <c r="AA159" i="8" s="1"/>
  <c r="AH19" i="9"/>
  <c r="Z159" i="8" s="1"/>
  <c r="W19" i="9"/>
  <c r="O159" i="8" s="1"/>
  <c r="AA19" i="9"/>
  <c r="S159" i="8" s="1"/>
  <c r="AJ19" i="9"/>
  <c r="AB159" i="8" s="1"/>
  <c r="N19" i="9"/>
  <c r="F159" i="8" s="1"/>
  <c r="AD19" i="9"/>
  <c r="V159" i="8" s="1"/>
  <c r="AK19" i="9"/>
  <c r="AC159" i="8" s="1"/>
  <c r="Q19" i="9"/>
  <c r="I159" i="8" s="1"/>
  <c r="P19" i="9"/>
  <c r="H159" i="8" s="1"/>
  <c r="AN19" i="9"/>
  <c r="AF159" i="8" s="1"/>
  <c r="U19" i="9"/>
  <c r="M159" i="8" s="1"/>
  <c r="M19" i="9"/>
  <c r="E159" i="8" s="1"/>
  <c r="X19" i="9"/>
  <c r="P159" i="8" s="1"/>
  <c r="Y19" i="9"/>
  <c r="Q159" i="8" s="1"/>
  <c r="Z19" i="9"/>
  <c r="R159" i="8" s="1"/>
  <c r="AF19" i="9"/>
  <c r="X159" i="8" s="1"/>
  <c r="AB19" i="9"/>
  <c r="T159" i="8" s="1"/>
  <c r="O19" i="9"/>
  <c r="G159" i="8" s="1"/>
  <c r="AE19" i="9"/>
  <c r="W159" i="8" s="1"/>
  <c r="V19" i="9"/>
  <c r="N159" i="8" s="1"/>
  <c r="S19" i="9"/>
  <c r="K159" i="8" s="1"/>
  <c r="AM19" i="9"/>
  <c r="L19" i="9"/>
  <c r="D159" i="8" s="1"/>
  <c r="K237" i="9"/>
  <c r="J239" i="9" s="1"/>
  <c r="G29" i="13" s="1"/>
  <c r="E84" i="12"/>
  <c r="AI180" i="8"/>
  <c r="E30" i="11" s="1"/>
  <c r="AI175" i="8"/>
  <c r="E25" i="11" s="1"/>
  <c r="AI163" i="8"/>
  <c r="E13" i="11" s="1"/>
  <c r="AI179" i="8"/>
  <c r="E29" i="11" s="1"/>
  <c r="AI176" i="8"/>
  <c r="E26" i="11" s="1"/>
  <c r="AI178" i="8"/>
  <c r="E28" i="11" s="1"/>
  <c r="AI171" i="8"/>
  <c r="E21" i="11" s="1"/>
  <c r="AI174" i="8"/>
  <c r="E24" i="11" s="1"/>
  <c r="AI170" i="8"/>
  <c r="E20" i="11" s="1"/>
  <c r="AI162" i="8"/>
  <c r="E12" i="11" s="1"/>
  <c r="AI167" i="8"/>
  <c r="E17" i="11" s="1"/>
  <c r="AI164" i="8"/>
  <c r="E14" i="11" s="1"/>
  <c r="AI172" i="8"/>
  <c r="E22" i="11" s="1"/>
  <c r="AI169" i="8"/>
  <c r="E19" i="11" s="1"/>
  <c r="AI177" i="8"/>
  <c r="E27" i="11" s="1"/>
  <c r="AI173" i="8"/>
  <c r="E23" i="11" s="1"/>
  <c r="AI166" i="8"/>
  <c r="E16" i="11" s="1"/>
  <c r="AI161" i="8"/>
  <c r="E11" i="11" s="1"/>
  <c r="AI168" i="8"/>
  <c r="E18" i="11" s="1"/>
  <c r="AI165" i="8"/>
  <c r="E15" i="11" s="1"/>
  <c r="E92" i="12"/>
  <c r="AO139" i="9"/>
  <c r="AO282" i="9" s="1"/>
  <c r="H157" i="12" s="1"/>
  <c r="E73" i="12"/>
  <c r="G158" i="12"/>
  <c r="G165" i="12"/>
  <c r="F161" i="12"/>
  <c r="G61" i="12"/>
  <c r="F82" i="12"/>
  <c r="G150" i="12"/>
  <c r="F159" i="12"/>
  <c r="G98" i="12"/>
  <c r="F72" i="12"/>
  <c r="F141" i="12"/>
  <c r="G68" i="12"/>
  <c r="G139" i="12"/>
  <c r="G63" i="12"/>
  <c r="G100" i="12"/>
  <c r="G161" i="12"/>
  <c r="F90" i="12"/>
  <c r="H81" i="12"/>
  <c r="F71" i="12"/>
  <c r="G141" i="12"/>
  <c r="F89" i="12"/>
  <c r="F143" i="12"/>
  <c r="G72" i="12"/>
  <c r="F83" i="12"/>
  <c r="G149" i="12"/>
  <c r="F61" i="12"/>
  <c r="F63" i="12"/>
  <c r="G130" i="12"/>
  <c r="F100" i="12"/>
  <c r="F102" i="12"/>
  <c r="G88" i="12"/>
  <c r="G91" i="12"/>
  <c r="G89" i="12"/>
  <c r="F101" i="12"/>
  <c r="F79" i="12"/>
  <c r="G122" i="12"/>
  <c r="F99" i="12"/>
  <c r="F124" i="12"/>
  <c r="F130" i="12"/>
  <c r="G90" i="12"/>
  <c r="G106" i="12"/>
  <c r="G159" i="12"/>
  <c r="G123" i="12"/>
  <c r="F165" i="12"/>
  <c r="H87" i="12"/>
  <c r="F122" i="12"/>
  <c r="H150" i="12"/>
  <c r="F148" i="12"/>
  <c r="H123" i="12"/>
  <c r="G102" i="12"/>
  <c r="H140" i="12"/>
  <c r="F91" i="12"/>
  <c r="F157" i="12"/>
  <c r="H130" i="12"/>
  <c r="G108" i="12"/>
  <c r="H83" i="12"/>
  <c r="F87" i="12"/>
  <c r="G101" i="12"/>
  <c r="G87" i="12"/>
  <c r="F149" i="12"/>
  <c r="H90" i="12"/>
  <c r="H82" i="12"/>
  <c r="G99" i="12"/>
  <c r="F142" i="12"/>
  <c r="H69" i="12"/>
  <c r="F108" i="12"/>
  <c r="F139" i="12"/>
  <c r="G107" i="12"/>
  <c r="F166" i="12"/>
  <c r="F123" i="12"/>
  <c r="G166" i="12"/>
  <c r="G70" i="12"/>
  <c r="H158" i="12"/>
  <c r="F158" i="12"/>
  <c r="H139" i="12"/>
  <c r="G83" i="12"/>
  <c r="H141" i="12"/>
  <c r="G71" i="12"/>
  <c r="H64" i="12"/>
  <c r="H91" i="12"/>
  <c r="F88" i="12"/>
  <c r="F107" i="12"/>
  <c r="G140" i="12"/>
  <c r="F106" i="12"/>
  <c r="G147" i="12"/>
  <c r="F68" i="12"/>
  <c r="F98" i="12"/>
  <c r="F140" i="12"/>
  <c r="H161" i="12"/>
  <c r="G79" i="12"/>
  <c r="F80" i="12"/>
  <c r="H149" i="12"/>
  <c r="I121" i="12"/>
  <c r="F64" i="12"/>
  <c r="F147" i="12"/>
  <c r="G62" i="12"/>
  <c r="G69" i="12"/>
  <c r="I149" i="12"/>
  <c r="I81" i="12"/>
  <c r="I61" i="12"/>
  <c r="H102" i="12"/>
  <c r="F62" i="12"/>
  <c r="I88" i="12"/>
  <c r="F70" i="12"/>
  <c r="I124" i="12"/>
  <c r="G142" i="12"/>
  <c r="G64" i="12"/>
  <c r="I98" i="12"/>
  <c r="I158" i="12"/>
  <c r="I101" i="12"/>
  <c r="H124" i="12"/>
  <c r="G124" i="12"/>
  <c r="I157" i="12"/>
  <c r="I82" i="12"/>
  <c r="H159" i="12"/>
  <c r="H80" i="12"/>
  <c r="F69" i="12"/>
  <c r="H63" i="12"/>
  <c r="H79" i="12"/>
  <c r="G81" i="12"/>
  <c r="I102" i="12"/>
  <c r="H147" i="12"/>
  <c r="I107" i="12"/>
  <c r="H88" i="12"/>
  <c r="I108" i="12"/>
  <c r="H62" i="12"/>
  <c r="I63" i="12"/>
  <c r="I159" i="12"/>
  <c r="H148" i="12"/>
  <c r="I139" i="12"/>
  <c r="H166" i="12"/>
  <c r="H71" i="12"/>
  <c r="F150" i="12"/>
  <c r="G143" i="12"/>
  <c r="H70" i="12"/>
  <c r="G160" i="12"/>
  <c r="I70" i="12"/>
  <c r="I80" i="12"/>
  <c r="H106" i="12"/>
  <c r="H107" i="12"/>
  <c r="H98" i="12"/>
  <c r="I106" i="12"/>
  <c r="H68" i="12"/>
  <c r="I148" i="12"/>
  <c r="H142" i="12"/>
  <c r="H160" i="12"/>
  <c r="G80" i="12"/>
  <c r="G148" i="12"/>
  <c r="F81" i="12"/>
  <c r="I123" i="12"/>
  <c r="H61" i="12"/>
  <c r="H143" i="12"/>
  <c r="I91" i="12"/>
  <c r="F160" i="12"/>
  <c r="I150" i="12"/>
  <c r="I122" i="12"/>
  <c r="I100" i="12"/>
  <c r="H72" i="12"/>
  <c r="H100" i="12"/>
  <c r="I72" i="12"/>
  <c r="I166" i="12"/>
  <c r="I160" i="12"/>
  <c r="F129" i="12"/>
  <c r="I71" i="12"/>
  <c r="I89" i="12"/>
  <c r="H108" i="12"/>
  <c r="H122" i="12"/>
  <c r="H89" i="12"/>
  <c r="H99" i="12"/>
  <c r="F121" i="12"/>
  <c r="G82" i="12"/>
  <c r="I62" i="12"/>
  <c r="I87" i="12"/>
  <c r="H165" i="12"/>
  <c r="J139" i="12"/>
  <c r="I64" i="12"/>
  <c r="J61" i="12"/>
  <c r="K107" i="12"/>
  <c r="I79" i="12"/>
  <c r="J79" i="12"/>
  <c r="K158" i="12"/>
  <c r="K130" i="12"/>
  <c r="J166" i="12"/>
  <c r="K72" i="12"/>
  <c r="J99" i="12"/>
  <c r="J98" i="12"/>
  <c r="K106" i="12"/>
  <c r="I68" i="12"/>
  <c r="K123" i="12"/>
  <c r="K62" i="12"/>
  <c r="J149" i="12"/>
  <c r="K141" i="12"/>
  <c r="J108" i="12"/>
  <c r="G157" i="12"/>
  <c r="J150" i="12"/>
  <c r="I83" i="12"/>
  <c r="I99" i="12"/>
  <c r="J121" i="12"/>
  <c r="J122" i="12"/>
  <c r="I90" i="12"/>
  <c r="I130" i="12"/>
  <c r="J160" i="12"/>
  <c r="I69" i="12"/>
  <c r="K64" i="12"/>
  <c r="K165" i="12"/>
  <c r="I161" i="12"/>
  <c r="J82" i="12"/>
  <c r="I141" i="12"/>
  <c r="J107" i="12"/>
  <c r="J130" i="12"/>
  <c r="I129" i="12"/>
  <c r="J101" i="12"/>
  <c r="J100" i="12"/>
  <c r="K81" i="12"/>
  <c r="J123" i="12"/>
  <c r="I165" i="12"/>
  <c r="K98" i="12"/>
  <c r="J63" i="12"/>
  <c r="J91" i="12"/>
  <c r="K122" i="12"/>
  <c r="I142" i="12"/>
  <c r="G129" i="12"/>
  <c r="I140" i="12"/>
  <c r="J83" i="12"/>
  <c r="J64" i="12"/>
  <c r="J71" i="12"/>
  <c r="K142" i="12"/>
  <c r="J106" i="12"/>
  <c r="K124" i="12"/>
  <c r="J69" i="12"/>
  <c r="I143" i="12"/>
  <c r="H101" i="12"/>
  <c r="L70" i="12"/>
  <c r="K157" i="12"/>
  <c r="K99" i="12"/>
  <c r="K160" i="12"/>
  <c r="J102" i="12"/>
  <c r="K148" i="12"/>
  <c r="J81" i="12"/>
  <c r="I147" i="12"/>
  <c r="K71" i="12"/>
  <c r="K79" i="12"/>
  <c r="J70" i="12"/>
  <c r="K61" i="12"/>
  <c r="L98" i="12"/>
  <c r="K91" i="12"/>
  <c r="K87" i="12"/>
  <c r="K82" i="12"/>
  <c r="J148" i="12"/>
  <c r="J161" i="12"/>
  <c r="J165" i="12"/>
  <c r="K147" i="12"/>
  <c r="L124" i="12"/>
  <c r="L160" i="12"/>
  <c r="J142" i="12"/>
  <c r="K83" i="12"/>
  <c r="J89" i="12"/>
  <c r="K139" i="12"/>
  <c r="J124" i="12"/>
  <c r="J68" i="12"/>
  <c r="L72" i="12"/>
  <c r="J143" i="12"/>
  <c r="K69" i="12"/>
  <c r="L99" i="12"/>
  <c r="L158" i="12"/>
  <c r="L149" i="12"/>
  <c r="L147" i="12"/>
  <c r="K101" i="12"/>
  <c r="K161" i="12"/>
  <c r="L89" i="12"/>
  <c r="J90" i="12"/>
  <c r="J129" i="12"/>
  <c r="K90" i="12"/>
  <c r="K143" i="12"/>
  <c r="L88" i="12"/>
  <c r="L130" i="12"/>
  <c r="L166" i="12"/>
  <c r="J158" i="12"/>
  <c r="J140" i="12"/>
  <c r="K88" i="12"/>
  <c r="K63" i="12"/>
  <c r="L102" i="12"/>
  <c r="L80" i="12"/>
  <c r="L82" i="12"/>
  <c r="K159" i="12"/>
  <c r="K70" i="12"/>
  <c r="K121" i="12"/>
  <c r="J80" i="12"/>
  <c r="K68" i="12"/>
  <c r="K149" i="12"/>
  <c r="L79" i="12"/>
  <c r="K166" i="12"/>
  <c r="K100" i="12"/>
  <c r="K102" i="12"/>
  <c r="L64" i="12"/>
  <c r="L106" i="12"/>
  <c r="K80" i="12"/>
  <c r="L107" i="12"/>
  <c r="L101" i="12"/>
  <c r="J157" i="12"/>
  <c r="J147" i="12"/>
  <c r="K140" i="12"/>
  <c r="L157" i="12"/>
  <c r="L90" i="12"/>
  <c r="L81" i="12"/>
  <c r="K89" i="12"/>
  <c r="K150" i="12"/>
  <c r="J72" i="12"/>
  <c r="J141" i="12"/>
  <c r="N83" i="12"/>
  <c r="L108" i="12"/>
  <c r="M149" i="12"/>
  <c r="L83" i="12"/>
  <c r="J159" i="12"/>
  <c r="N106" i="12"/>
  <c r="N122" i="12"/>
  <c r="L161" i="12"/>
  <c r="N71" i="12"/>
  <c r="L140" i="12"/>
  <c r="L123" i="12"/>
  <c r="L71" i="12"/>
  <c r="K108" i="12"/>
  <c r="L91" i="12"/>
  <c r="N88" i="12"/>
  <c r="N70" i="12"/>
  <c r="N69" i="12"/>
  <c r="N147" i="12"/>
  <c r="M108" i="12"/>
  <c r="N101" i="12"/>
  <c r="M142" i="12"/>
  <c r="L139" i="12"/>
  <c r="M64" i="12"/>
  <c r="M83" i="12"/>
  <c r="K129" i="12"/>
  <c r="L150" i="12"/>
  <c r="N62" i="12"/>
  <c r="L143" i="12"/>
  <c r="L69" i="12"/>
  <c r="L159" i="12"/>
  <c r="L87" i="12"/>
  <c r="L142" i="12"/>
  <c r="N89" i="12"/>
  <c r="N165" i="12"/>
  <c r="N160" i="12"/>
  <c r="M72" i="12"/>
  <c r="N166" i="12"/>
  <c r="N150" i="12"/>
  <c r="N63" i="12"/>
  <c r="L165" i="12"/>
  <c r="M166" i="12"/>
  <c r="N159" i="12"/>
  <c r="M106" i="12"/>
  <c r="M150" i="12"/>
  <c r="M141" i="12"/>
  <c r="M80" i="12"/>
  <c r="M161" i="12"/>
  <c r="M140" i="12"/>
  <c r="M158" i="12"/>
  <c r="N158" i="12"/>
  <c r="M70" i="12"/>
  <c r="L61" i="12"/>
  <c r="N82" i="12"/>
  <c r="N124" i="12"/>
  <c r="N140" i="12"/>
  <c r="M160" i="12"/>
  <c r="M90" i="12"/>
  <c r="M89" i="12"/>
  <c r="N91" i="12"/>
  <c r="M123" i="12"/>
  <c r="N100" i="12"/>
  <c r="N130" i="12"/>
  <c r="M143" i="12"/>
  <c r="J87" i="12"/>
  <c r="L63" i="12"/>
  <c r="M87" i="12"/>
  <c r="L141" i="12"/>
  <c r="N90" i="12"/>
  <c r="J88" i="12"/>
  <c r="M101" i="12"/>
  <c r="N61" i="12"/>
  <c r="N81" i="12"/>
  <c r="J62" i="12"/>
  <c r="N139" i="12"/>
  <c r="N64" i="12"/>
  <c r="M159" i="12"/>
  <c r="L148" i="12"/>
  <c r="N79" i="12"/>
  <c r="N102" i="12"/>
  <c r="M71" i="12"/>
  <c r="N72" i="12"/>
  <c r="M98" i="12"/>
  <c r="L100" i="12"/>
  <c r="M61" i="12"/>
  <c r="N142" i="12"/>
  <c r="M100" i="12"/>
  <c r="M148" i="12"/>
  <c r="M79" i="12"/>
  <c r="M124" i="12"/>
  <c r="M91" i="12"/>
  <c r="N107" i="12"/>
  <c r="M99" i="12"/>
  <c r="N149" i="12"/>
  <c r="N80" i="12"/>
  <c r="N98" i="12"/>
  <c r="N99" i="12"/>
  <c r="M82" i="12"/>
  <c r="M107" i="12"/>
  <c r="N161" i="12"/>
  <c r="M139" i="12"/>
  <c r="M165" i="12"/>
  <c r="N87" i="12"/>
  <c r="N123" i="12"/>
  <c r="N141" i="12"/>
  <c r="N143" i="12"/>
  <c r="N108" i="12"/>
  <c r="N68" i="12"/>
  <c r="N148" i="12"/>
  <c r="M63" i="12"/>
  <c r="M102" i="12"/>
  <c r="M88" i="12"/>
  <c r="M147" i="12"/>
  <c r="M81" i="12"/>
  <c r="M130" i="12"/>
  <c r="E103" i="12"/>
  <c r="E151" i="12"/>
  <c r="E144" i="12"/>
  <c r="E65" i="12"/>
  <c r="N17" i="12"/>
  <c r="AO22" i="9"/>
  <c r="F16" i="12"/>
  <c r="F83" i="11" s="1"/>
  <c r="I16" i="12"/>
  <c r="I83" i="11" s="1"/>
  <c r="K16" i="12"/>
  <c r="K83" i="11" s="1"/>
  <c r="J16" i="12"/>
  <c r="J83" i="11" s="1"/>
  <c r="K269" i="9"/>
  <c r="AK146" i="9"/>
  <c r="AK148" i="9" s="1"/>
  <c r="AK292" i="9"/>
  <c r="AK294" i="9" s="1"/>
  <c r="AK296" i="9" s="1"/>
  <c r="AM146" i="9"/>
  <c r="AM148" i="9" s="1"/>
  <c r="AM293" i="9"/>
  <c r="AM294" i="9" s="1"/>
  <c r="AM296" i="9" s="1"/>
  <c r="AG146" i="9"/>
  <c r="AG148" i="9" s="1"/>
  <c r="AG292" i="9"/>
  <c r="AG294" i="9" s="1"/>
  <c r="AG296" i="9" s="1"/>
  <c r="AL146" i="9"/>
  <c r="AL148" i="9" s="1"/>
  <c r="AL293" i="9"/>
  <c r="AL294" i="9" s="1"/>
  <c r="AL296" i="9" s="1"/>
  <c r="K214" i="9"/>
  <c r="AH146" i="9"/>
  <c r="AH148" i="9" s="1"/>
  <c r="AH292" i="9"/>
  <c r="AH294" i="9" s="1"/>
  <c r="AH296" i="9" s="1"/>
  <c r="F43" i="12"/>
  <c r="J35" i="12"/>
  <c r="J36" i="12" s="1"/>
  <c r="J38" i="12" s="1"/>
  <c r="J36" i="11" s="1"/>
  <c r="F42" i="12"/>
  <c r="L48" i="12"/>
  <c r="L35" i="12"/>
  <c r="L36" i="12" s="1"/>
  <c r="L38" i="12" s="1"/>
  <c r="L36" i="11" s="1"/>
  <c r="G35" i="12"/>
  <c r="G36" i="12" s="1"/>
  <c r="G38" i="12" s="1"/>
  <c r="G36" i="11" s="1"/>
  <c r="L47" i="12"/>
  <c r="H43" i="12"/>
  <c r="J42" i="12"/>
  <c r="K35" i="12"/>
  <c r="K36" i="12" s="1"/>
  <c r="K38" i="12" s="1"/>
  <c r="K36" i="11" s="1"/>
  <c r="H42" i="12"/>
  <c r="K43" i="12"/>
  <c r="I42" i="12"/>
  <c r="K42" i="12"/>
  <c r="L42" i="12"/>
  <c r="F35" i="12"/>
  <c r="F36" i="12" s="1"/>
  <c r="F38" i="12" s="1"/>
  <c r="F36" i="11" s="1"/>
  <c r="N35" i="12"/>
  <c r="N36" i="12" s="1"/>
  <c r="N38" i="12" s="1"/>
  <c r="N36" i="11" s="1"/>
  <c r="I43" i="12"/>
  <c r="M35" i="12"/>
  <c r="M36" i="12" s="1"/>
  <c r="M38" i="12" s="1"/>
  <c r="M36" i="11" s="1"/>
  <c r="J43" i="12"/>
  <c r="L43" i="12"/>
  <c r="I35" i="12"/>
  <c r="I36" i="12" s="1"/>
  <c r="I38" i="12" s="1"/>
  <c r="I36" i="11" s="1"/>
  <c r="G42" i="12"/>
  <c r="H35" i="12"/>
  <c r="H36" i="12" s="1"/>
  <c r="H38" i="12" s="1"/>
  <c r="H36" i="11" s="1"/>
  <c r="F17" i="12"/>
  <c r="G17" i="12"/>
  <c r="H17" i="12"/>
  <c r="I17" i="12"/>
  <c r="J17" i="12"/>
  <c r="K17" i="12"/>
  <c r="L17" i="12"/>
  <c r="M17" i="12"/>
  <c r="AJ119" i="9"/>
  <c r="AJ246" i="9"/>
  <c r="AJ250" i="9" s="1"/>
  <c r="K230" i="9"/>
  <c r="K193" i="9"/>
  <c r="K174" i="9"/>
  <c r="K276" i="9"/>
  <c r="K185" i="9"/>
  <c r="K166" i="9"/>
  <c r="I27" i="12"/>
  <c r="H27" i="12"/>
  <c r="I26" i="12"/>
  <c r="I22" i="12"/>
  <c r="F27" i="12"/>
  <c r="F22" i="12"/>
  <c r="F26" i="12"/>
  <c r="G27" i="12"/>
  <c r="J22" i="12"/>
  <c r="K27" i="12"/>
  <c r="K22" i="12"/>
  <c r="J26" i="12"/>
  <c r="K26" i="12"/>
  <c r="J27" i="12"/>
  <c r="G26" i="12"/>
  <c r="L27" i="12"/>
  <c r="L22" i="12"/>
  <c r="L26" i="12"/>
  <c r="D340" i="8"/>
  <c r="L144" i="9" s="1"/>
  <c r="D357" i="8"/>
  <c r="D352" i="8" s="1"/>
  <c r="F357" i="8"/>
  <c r="E357" i="8"/>
  <c r="AF114" i="9"/>
  <c r="R114" i="9"/>
  <c r="AL114" i="9"/>
  <c r="Z114" i="9"/>
  <c r="V114" i="9"/>
  <c r="AK114" i="9"/>
  <c r="S114" i="9"/>
  <c r="T114" i="9"/>
  <c r="N114" i="9"/>
  <c r="AO114" i="9"/>
  <c r="AA114" i="9"/>
  <c r="AJ114" i="9"/>
  <c r="AD114" i="9"/>
  <c r="Q114" i="9"/>
  <c r="AG114" i="9"/>
  <c r="O114" i="9"/>
  <c r="W114" i="9"/>
  <c r="P114" i="9"/>
  <c r="X114" i="9"/>
  <c r="AI114" i="9"/>
  <c r="AH114" i="9"/>
  <c r="AC114" i="9"/>
  <c r="AN114" i="9"/>
  <c r="Y114" i="9"/>
  <c r="M114" i="9"/>
  <c r="AE114" i="9"/>
  <c r="AM114" i="9"/>
  <c r="U114" i="9"/>
  <c r="AB114" i="9"/>
  <c r="L114" i="9"/>
  <c r="AJ109" i="9"/>
  <c r="AO109" i="9"/>
  <c r="AI109" i="9"/>
  <c r="AC109" i="9"/>
  <c r="AE109" i="9"/>
  <c r="AF109" i="9"/>
  <c r="X109" i="9"/>
  <c r="W109" i="9"/>
  <c r="AH109" i="9"/>
  <c r="V109" i="9"/>
  <c r="S109" i="9"/>
  <c r="AL109" i="9"/>
  <c r="Q109" i="9"/>
  <c r="T109" i="9"/>
  <c r="M109" i="9"/>
  <c r="Z109" i="9"/>
  <c r="N109" i="9"/>
  <c r="P109" i="9"/>
  <c r="AN109" i="9"/>
  <c r="AA109" i="9"/>
  <c r="Y109" i="9"/>
  <c r="AD109" i="9"/>
  <c r="AK109" i="9"/>
  <c r="R109" i="9"/>
  <c r="AB109" i="9"/>
  <c r="AG109" i="9"/>
  <c r="U109" i="9"/>
  <c r="AM109" i="9"/>
  <c r="O109" i="9"/>
  <c r="L109" i="9"/>
  <c r="AK113" i="9"/>
  <c r="S113" i="9"/>
  <c r="AO113" i="9"/>
  <c r="AI113" i="9"/>
  <c r="AE113" i="9"/>
  <c r="AN113" i="9"/>
  <c r="AG113" i="9"/>
  <c r="AF113" i="9"/>
  <c r="AC113" i="9"/>
  <c r="Q113" i="9"/>
  <c r="Y113" i="9"/>
  <c r="Z113" i="9"/>
  <c r="R113" i="9"/>
  <c r="O113" i="9"/>
  <c r="T113" i="9"/>
  <c r="M113" i="9"/>
  <c r="X113" i="9"/>
  <c r="N113" i="9"/>
  <c r="P113" i="9"/>
  <c r="AJ113" i="9"/>
  <c r="AD113" i="9"/>
  <c r="W113" i="9"/>
  <c r="AH113" i="9"/>
  <c r="AB113" i="9"/>
  <c r="AM113" i="9"/>
  <c r="AL113" i="9"/>
  <c r="V113" i="9"/>
  <c r="AA113" i="9"/>
  <c r="U113" i="9"/>
  <c r="L113" i="9"/>
  <c r="AD108" i="9"/>
  <c r="R108" i="9"/>
  <c r="AC108" i="9"/>
  <c r="W108" i="9"/>
  <c r="T108" i="9"/>
  <c r="N108" i="9"/>
  <c r="AB108" i="9"/>
  <c r="Y108" i="9"/>
  <c r="AJ108" i="9"/>
  <c r="X108" i="9"/>
  <c r="AN108" i="9"/>
  <c r="AK108" i="9"/>
  <c r="AI108" i="9"/>
  <c r="M108" i="9"/>
  <c r="Z108" i="9"/>
  <c r="AE108" i="9"/>
  <c r="AH108" i="9"/>
  <c r="AM108" i="9"/>
  <c r="AG108" i="9"/>
  <c r="AA108" i="9"/>
  <c r="U108" i="9"/>
  <c r="O108" i="9"/>
  <c r="V108" i="9"/>
  <c r="P108" i="9"/>
  <c r="S108" i="9"/>
  <c r="AF108" i="9"/>
  <c r="AL108" i="9"/>
  <c r="Q108" i="9"/>
  <c r="AO108" i="9"/>
  <c r="L108" i="9"/>
  <c r="AF112" i="9"/>
  <c r="AJ112" i="9"/>
  <c r="X112" i="9"/>
  <c r="M112" i="9"/>
  <c r="Z112" i="9"/>
  <c r="AK112" i="9"/>
  <c r="S112" i="9"/>
  <c r="AD112" i="9"/>
  <c r="R112" i="9"/>
  <c r="AO112" i="9"/>
  <c r="N112" i="9"/>
  <c r="Q112" i="9"/>
  <c r="AM112" i="9"/>
  <c r="AG112" i="9"/>
  <c r="AL112" i="9"/>
  <c r="AN112" i="9"/>
  <c r="AB112" i="9"/>
  <c r="V112" i="9"/>
  <c r="U112" i="9"/>
  <c r="P112" i="9"/>
  <c r="O112" i="9"/>
  <c r="AI112" i="9"/>
  <c r="Y112" i="9"/>
  <c r="W112" i="9"/>
  <c r="AE112" i="9"/>
  <c r="AA112" i="9"/>
  <c r="AC112" i="9"/>
  <c r="T112" i="9"/>
  <c r="AH112" i="9"/>
  <c r="L112" i="9"/>
  <c r="S116" i="9"/>
  <c r="W116" i="9"/>
  <c r="AM116" i="9"/>
  <c r="AA116" i="9"/>
  <c r="T116" i="9"/>
  <c r="AJ116" i="9"/>
  <c r="AD116" i="9"/>
  <c r="R116" i="9"/>
  <c r="AO116" i="9"/>
  <c r="AK116" i="9"/>
  <c r="AC116" i="9"/>
  <c r="Q116" i="9"/>
  <c r="AG116" i="9"/>
  <c r="U116" i="9"/>
  <c r="AI116" i="9"/>
  <c r="AE116" i="9"/>
  <c r="O116" i="9"/>
  <c r="V116" i="9"/>
  <c r="AL116" i="9"/>
  <c r="AB116" i="9"/>
  <c r="M116" i="9"/>
  <c r="X116" i="9"/>
  <c r="N116" i="9"/>
  <c r="AN116" i="9"/>
  <c r="AH116" i="9"/>
  <c r="Y116" i="9"/>
  <c r="Z116" i="9"/>
  <c r="AF116" i="9"/>
  <c r="P116" i="9"/>
  <c r="L116" i="9"/>
  <c r="AH107" i="9"/>
  <c r="AG107" i="9"/>
  <c r="AF107" i="9"/>
  <c r="Y107" i="9"/>
  <c r="AL107" i="9"/>
  <c r="Z107" i="9"/>
  <c r="AN107" i="9"/>
  <c r="M107" i="9"/>
  <c r="X107" i="9"/>
  <c r="AE107" i="9"/>
  <c r="V107" i="9"/>
  <c r="T107" i="9"/>
  <c r="S107" i="9"/>
  <c r="AJ107" i="9"/>
  <c r="W107" i="9"/>
  <c r="Q107" i="9"/>
  <c r="AD107" i="9"/>
  <c r="AB107" i="9"/>
  <c r="AA107" i="9"/>
  <c r="N107" i="9"/>
  <c r="AK107" i="9"/>
  <c r="R107" i="9"/>
  <c r="AI107" i="9"/>
  <c r="AC107" i="9"/>
  <c r="AO107" i="9"/>
  <c r="P107" i="9"/>
  <c r="U107" i="9"/>
  <c r="O107" i="9"/>
  <c r="AM107" i="9"/>
  <c r="L107" i="9"/>
  <c r="AK111" i="9"/>
  <c r="AD111" i="9"/>
  <c r="AI111" i="9"/>
  <c r="W111" i="9"/>
  <c r="S111" i="9"/>
  <c r="AL111" i="9"/>
  <c r="R111" i="9"/>
  <c r="AO111" i="9"/>
  <c r="AC111" i="9"/>
  <c r="Q111" i="9"/>
  <c r="AH111" i="9"/>
  <c r="AB111" i="9"/>
  <c r="M111" i="9"/>
  <c r="AJ111" i="9"/>
  <c r="AN111" i="9"/>
  <c r="Y111" i="9"/>
  <c r="AA111" i="9"/>
  <c r="AF111" i="9"/>
  <c r="Z111" i="9"/>
  <c r="AE111" i="9"/>
  <c r="AM111" i="9"/>
  <c r="O111" i="9"/>
  <c r="X111" i="9"/>
  <c r="N111" i="9"/>
  <c r="V111" i="9"/>
  <c r="P111" i="9"/>
  <c r="U111" i="9"/>
  <c r="T111" i="9"/>
  <c r="AG111" i="9"/>
  <c r="L111" i="9"/>
  <c r="Y115" i="9"/>
  <c r="Q115" i="9"/>
  <c r="AH115" i="9"/>
  <c r="P115" i="9"/>
  <c r="AM115" i="9"/>
  <c r="AA115" i="9"/>
  <c r="O115" i="9"/>
  <c r="AD115" i="9"/>
  <c r="X115" i="9"/>
  <c r="AC115" i="9"/>
  <c r="W115" i="9"/>
  <c r="Z115" i="9"/>
  <c r="AE115" i="9"/>
  <c r="AN115" i="9"/>
  <c r="AB115" i="9"/>
  <c r="AF115" i="9"/>
  <c r="T115" i="9"/>
  <c r="M115" i="9"/>
  <c r="AJ115" i="9"/>
  <c r="AL115" i="9"/>
  <c r="R115" i="9"/>
  <c r="AO115" i="9"/>
  <c r="U115" i="9"/>
  <c r="V115" i="9"/>
  <c r="AI115" i="9"/>
  <c r="N115" i="9"/>
  <c r="AG115" i="9"/>
  <c r="AK115" i="9"/>
  <c r="S115" i="9"/>
  <c r="L115" i="9"/>
  <c r="N118" i="9"/>
  <c r="AM118" i="9"/>
  <c r="U118" i="9"/>
  <c r="AF118" i="9"/>
  <c r="AH118" i="9"/>
  <c r="AI118" i="9"/>
  <c r="AE118" i="9"/>
  <c r="AN118" i="9"/>
  <c r="X118" i="9"/>
  <c r="AB118" i="9"/>
  <c r="P118" i="9"/>
  <c r="S118" i="9"/>
  <c r="AD118" i="9"/>
  <c r="AO118" i="9"/>
  <c r="W118" i="9"/>
  <c r="V118" i="9"/>
  <c r="R118" i="9"/>
  <c r="M118" i="9"/>
  <c r="AL118" i="9"/>
  <c r="O118" i="9"/>
  <c r="T118" i="9"/>
  <c r="AK118" i="9"/>
  <c r="AG118" i="9"/>
  <c r="AA118" i="9"/>
  <c r="Q118" i="9"/>
  <c r="AC118" i="9"/>
  <c r="Y118" i="9"/>
  <c r="AJ118" i="9"/>
  <c r="Z118" i="9"/>
  <c r="L118" i="9"/>
  <c r="AF110" i="9"/>
  <c r="T110" i="9"/>
  <c r="Y110" i="9"/>
  <c r="M110" i="9"/>
  <c r="AJ110" i="9"/>
  <c r="X110" i="9"/>
  <c r="Z110" i="9"/>
  <c r="AH110" i="9"/>
  <c r="V110" i="9"/>
  <c r="AA110" i="9"/>
  <c r="AK110" i="9"/>
  <c r="R110" i="9"/>
  <c r="AI110" i="9"/>
  <c r="W110" i="9"/>
  <c r="N110" i="9"/>
  <c r="AE110" i="9"/>
  <c r="AN110" i="9"/>
  <c r="AB110" i="9"/>
  <c r="AD110" i="9"/>
  <c r="Q110" i="9"/>
  <c r="AM110" i="9"/>
  <c r="AC110" i="9"/>
  <c r="AG110" i="9"/>
  <c r="AL110" i="9"/>
  <c r="O110" i="9"/>
  <c r="S110" i="9"/>
  <c r="AO110" i="9"/>
  <c r="P110" i="9"/>
  <c r="U110" i="9"/>
  <c r="L110" i="9"/>
  <c r="AJ85" i="9"/>
  <c r="AJ86" i="9"/>
  <c r="AJ57" i="9"/>
  <c r="AJ84" i="9"/>
  <c r="AL23" i="9"/>
  <c r="AK35" i="9"/>
  <c r="AN82" i="9"/>
  <c r="AM82" i="9"/>
  <c r="Z82" i="9"/>
  <c r="Q82" i="9"/>
  <c r="U82" i="9"/>
  <c r="AO82" i="9"/>
  <c r="N24" i="12" s="1"/>
  <c r="AC82" i="9"/>
  <c r="AA82" i="9"/>
  <c r="AL82" i="9"/>
  <c r="X82" i="9"/>
  <c r="V82" i="9"/>
  <c r="AF82" i="9"/>
  <c r="R82" i="9"/>
  <c r="AI82" i="9"/>
  <c r="AG82" i="9"/>
  <c r="AH82" i="9"/>
  <c r="AD82" i="9"/>
  <c r="Y82" i="9"/>
  <c r="N82" i="9"/>
  <c r="AB82" i="9"/>
  <c r="AJ82" i="9"/>
  <c r="W82" i="9"/>
  <c r="P82" i="9"/>
  <c r="M82" i="9"/>
  <c r="T82" i="9"/>
  <c r="AE82" i="9"/>
  <c r="S82" i="9"/>
  <c r="AK82" i="9"/>
  <c r="L82" i="9"/>
  <c r="O82" i="9"/>
  <c r="AH341" i="8"/>
  <c r="AG340" i="8"/>
  <c r="AG333" i="8"/>
  <c r="AH333" i="8" s="1"/>
  <c r="AH334" i="8"/>
  <c r="AO140" i="9"/>
  <c r="M43" i="12" s="1"/>
  <c r="AN61" i="9"/>
  <c r="AN79" i="9"/>
  <c r="AN124" i="9"/>
  <c r="AN123" i="9"/>
  <c r="AN75" i="9" s="1"/>
  <c r="AN74" i="9" s="1"/>
  <c r="AN64" i="9"/>
  <c r="AN65" i="9"/>
  <c r="AO26" i="9"/>
  <c r="AO27" i="9" s="1"/>
  <c r="AO28" i="9"/>
  <c r="AO29" i="9" s="1"/>
  <c r="AO24" i="9"/>
  <c r="AO25" i="9" s="1"/>
  <c r="AE159" i="8"/>
  <c r="AH336" i="8"/>
  <c r="AG354" i="8"/>
  <c r="AG348" i="8" s="1"/>
  <c r="AO125" i="9" s="1"/>
  <c r="AH335" i="8"/>
  <c r="AG353" i="8"/>
  <c r="AH338" i="8"/>
  <c r="AG356" i="8"/>
  <c r="AG350" i="8" s="1"/>
  <c r="AH350" i="8" s="1"/>
  <c r="AF352" i="8"/>
  <c r="AF348" i="8"/>
  <c r="AH337" i="8"/>
  <c r="AG355" i="8"/>
  <c r="AG349" i="8" s="1"/>
  <c r="AH349" i="8" s="1"/>
  <c r="J12" i="11" l="1"/>
  <c r="J30" i="11"/>
  <c r="K25" i="11"/>
  <c r="L28" i="11"/>
  <c r="M27" i="11"/>
  <c r="G17" i="11"/>
  <c r="J27" i="11"/>
  <c r="N22" i="11"/>
  <c r="J25" i="11"/>
  <c r="L29" i="11"/>
  <c r="H12" i="11"/>
  <c r="I25" i="11"/>
  <c r="F27" i="11"/>
  <c r="K24" i="11"/>
  <c r="I21" i="11"/>
  <c r="I23" i="11"/>
  <c r="N21" i="11"/>
  <c r="K23" i="11"/>
  <c r="M14" i="11"/>
  <c r="G20" i="11"/>
  <c r="H25" i="11"/>
  <c r="M16" i="11"/>
  <c r="H17" i="11"/>
  <c r="K12" i="11"/>
  <c r="F23" i="11"/>
  <c r="L17" i="11"/>
  <c r="J13" i="11"/>
  <c r="K13" i="11"/>
  <c r="H26" i="11"/>
  <c r="J17" i="11"/>
  <c r="I11" i="11"/>
  <c r="M157" i="12"/>
  <c r="M42" i="12"/>
  <c r="M44" i="12" s="1"/>
  <c r="I19" i="11"/>
  <c r="H29" i="11"/>
  <c r="J28" i="11"/>
  <c r="G30" i="11"/>
  <c r="K29" i="11"/>
  <c r="H11" i="11"/>
  <c r="N15" i="11"/>
  <c r="H13" i="11"/>
  <c r="G22" i="11"/>
  <c r="L27" i="11"/>
  <c r="M11" i="11"/>
  <c r="L13" i="11"/>
  <c r="N11" i="11"/>
  <c r="G18" i="11"/>
  <c r="H20" i="11"/>
  <c r="N29" i="11"/>
  <c r="M24" i="11"/>
  <c r="F15" i="11"/>
  <c r="H15" i="11"/>
  <c r="K18" i="11"/>
  <c r="J24" i="11"/>
  <c r="G15" i="11"/>
  <c r="G16" i="11"/>
  <c r="I13" i="11"/>
  <c r="F14" i="11"/>
  <c r="G21" i="11"/>
  <c r="K27" i="11"/>
  <c r="N20" i="11"/>
  <c r="G13" i="11"/>
  <c r="L14" i="11"/>
  <c r="M20" i="11"/>
  <c r="M25" i="11"/>
  <c r="J11" i="11"/>
  <c r="G26" i="11"/>
  <c r="I18" i="11"/>
  <c r="L24" i="11"/>
  <c r="N26" i="11"/>
  <c r="I29" i="11"/>
  <c r="M28" i="11"/>
  <c r="I28" i="11"/>
  <c r="J29" i="11"/>
  <c r="H18" i="11"/>
  <c r="H19" i="11"/>
  <c r="H28" i="11"/>
  <c r="I14" i="11"/>
  <c r="N23" i="11"/>
  <c r="F17" i="11"/>
  <c r="G23" i="11"/>
  <c r="K14" i="11"/>
  <c r="M29" i="11"/>
  <c r="L11" i="11"/>
  <c r="I15" i="11"/>
  <c r="M17" i="11"/>
  <c r="L20" i="11"/>
  <c r="H24" i="11"/>
  <c r="H22" i="11"/>
  <c r="K22" i="11"/>
  <c r="K11" i="11"/>
  <c r="I24" i="11"/>
  <c r="L30" i="11"/>
  <c r="J14" i="11"/>
  <c r="K21" i="11"/>
  <c r="I26" i="11"/>
  <c r="I27" i="11"/>
  <c r="I22" i="11"/>
  <c r="I12" i="11"/>
  <c r="N18" i="11"/>
  <c r="F22" i="11"/>
  <c r="L22" i="11"/>
  <c r="I30" i="11"/>
  <c r="F28" i="11"/>
  <c r="J26" i="11"/>
  <c r="N30" i="11"/>
  <c r="F24" i="11"/>
  <c r="L15" i="11"/>
  <c r="G14" i="11"/>
  <c r="L16" i="11"/>
  <c r="K15" i="11"/>
  <c r="N25" i="11"/>
  <c r="F13" i="11"/>
  <c r="M26" i="11"/>
  <c r="I16" i="11"/>
  <c r="H30" i="11"/>
  <c r="H14" i="11"/>
  <c r="M15" i="11"/>
  <c r="G19" i="11"/>
  <c r="M22" i="11"/>
  <c r="G25" i="11"/>
  <c r="G12" i="11"/>
  <c r="H21" i="11"/>
  <c r="J16" i="11"/>
  <c r="F11" i="11"/>
  <c r="N24" i="11"/>
  <c r="G27" i="11"/>
  <c r="N13" i="11"/>
  <c r="L23" i="11"/>
  <c r="G28" i="11"/>
  <c r="J22" i="11"/>
  <c r="J23" i="11"/>
  <c r="J20" i="11"/>
  <c r="M30" i="11"/>
  <c r="H23" i="11"/>
  <c r="N16" i="11"/>
  <c r="L12" i="11"/>
  <c r="L21" i="11"/>
  <c r="F29" i="11"/>
  <c r="J21" i="11"/>
  <c r="K17" i="11"/>
  <c r="L25" i="11"/>
  <c r="F21" i="11"/>
  <c r="N27" i="11"/>
  <c r="F12" i="11"/>
  <c r="I20" i="11"/>
  <c r="L26" i="11"/>
  <c r="M23" i="11"/>
  <c r="M13" i="11"/>
  <c r="F25" i="11"/>
  <c r="F26" i="11"/>
  <c r="E111" i="12"/>
  <c r="AF346" i="8"/>
  <c r="AN125" i="9"/>
  <c r="M28" i="12" s="1"/>
  <c r="G28" i="12"/>
  <c r="K125" i="9"/>
  <c r="E28" i="12" s="1"/>
  <c r="E94" i="12"/>
  <c r="L168" i="12"/>
  <c r="F24" i="12"/>
  <c r="M144" i="12"/>
  <c r="L62" i="12"/>
  <c r="L65" i="12" s="1"/>
  <c r="AL247" i="9"/>
  <c r="AL166" i="9"/>
  <c r="AL176" i="9" s="1"/>
  <c r="AL236" i="9" s="1"/>
  <c r="AL237" i="9" s="1"/>
  <c r="AM235" i="9" s="1"/>
  <c r="J169" i="9"/>
  <c r="D68" i="12" s="1"/>
  <c r="AM174" i="9"/>
  <c r="E75" i="12"/>
  <c r="E85" i="11"/>
  <c r="J18" i="12"/>
  <c r="F125" i="12"/>
  <c r="L10" i="11"/>
  <c r="H10" i="11"/>
  <c r="J10" i="11"/>
  <c r="K10" i="11"/>
  <c r="I10" i="11"/>
  <c r="F10" i="11"/>
  <c r="M10" i="11"/>
  <c r="G10" i="11"/>
  <c r="N10" i="11"/>
  <c r="H162" i="12"/>
  <c r="K125" i="12"/>
  <c r="I151" i="12"/>
  <c r="J109" i="12"/>
  <c r="H65" i="12"/>
  <c r="AJ163" i="8"/>
  <c r="D13" i="11" s="1"/>
  <c r="AJ166" i="8"/>
  <c r="D16" i="11" s="1"/>
  <c r="AJ169" i="8"/>
  <c r="D19" i="11" s="1"/>
  <c r="AJ172" i="8"/>
  <c r="D22" i="11" s="1"/>
  <c r="AJ175" i="8"/>
  <c r="D25" i="11" s="1"/>
  <c r="AJ164" i="8"/>
  <c r="D14" i="11" s="1"/>
  <c r="AJ167" i="8"/>
  <c r="D17" i="11" s="1"/>
  <c r="AJ170" i="8"/>
  <c r="D20" i="11" s="1"/>
  <c r="AJ173" i="8"/>
  <c r="D23" i="11" s="1"/>
  <c r="AJ176" i="8"/>
  <c r="D26" i="11" s="1"/>
  <c r="AJ179" i="8"/>
  <c r="D29" i="11" s="1"/>
  <c r="AJ162" i="8"/>
  <c r="D12" i="11" s="1"/>
  <c r="AJ165" i="8"/>
  <c r="D15" i="11" s="1"/>
  <c r="AJ168" i="8"/>
  <c r="D18" i="11" s="1"/>
  <c r="AJ171" i="8"/>
  <c r="D21" i="11" s="1"/>
  <c r="AJ174" i="8"/>
  <c r="D24" i="11" s="1"/>
  <c r="AJ177" i="8"/>
  <c r="D27" i="11" s="1"/>
  <c r="AJ180" i="8"/>
  <c r="D30" i="11" s="1"/>
  <c r="AJ161" i="8"/>
  <c r="D11" i="11" s="1"/>
  <c r="AJ178" i="8"/>
  <c r="D28" i="11" s="1"/>
  <c r="J151" i="12"/>
  <c r="K73" i="12"/>
  <c r="G162" i="12"/>
  <c r="F103" i="12"/>
  <c r="L92" i="12"/>
  <c r="I109" i="12"/>
  <c r="J162" i="12"/>
  <c r="H151" i="12"/>
  <c r="N92" i="12"/>
  <c r="N73" i="12"/>
  <c r="F109" i="12"/>
  <c r="M151" i="12"/>
  <c r="K84" i="12"/>
  <c r="G92" i="12"/>
  <c r="K144" i="12"/>
  <c r="K151" i="12"/>
  <c r="I92" i="12"/>
  <c r="I125" i="12"/>
  <c r="H144" i="12"/>
  <c r="F92" i="12"/>
  <c r="H92" i="12"/>
  <c r="J92" i="12"/>
  <c r="L167" i="12"/>
  <c r="M109" i="12"/>
  <c r="K92" i="12"/>
  <c r="J125" i="12"/>
  <c r="K109" i="12"/>
  <c r="J65" i="12"/>
  <c r="H109" i="12"/>
  <c r="F73" i="12"/>
  <c r="F65" i="12"/>
  <c r="G103" i="12"/>
  <c r="N103" i="12"/>
  <c r="N84" i="12"/>
  <c r="N144" i="12"/>
  <c r="N109" i="12"/>
  <c r="L151" i="12"/>
  <c r="H73" i="12"/>
  <c r="I103" i="12"/>
  <c r="G151" i="12"/>
  <c r="F144" i="12"/>
  <c r="AH348" i="8"/>
  <c r="M84" i="12"/>
  <c r="L162" i="12"/>
  <c r="L103" i="12"/>
  <c r="K162" i="12"/>
  <c r="J103" i="12"/>
  <c r="J84" i="12"/>
  <c r="I73" i="12"/>
  <c r="H84" i="12"/>
  <c r="I162" i="12"/>
  <c r="G65" i="12"/>
  <c r="G84" i="12"/>
  <c r="G144" i="12"/>
  <c r="E153" i="12"/>
  <c r="M103" i="12"/>
  <c r="N157" i="12"/>
  <c r="N162" i="12" s="1"/>
  <c r="N151" i="12"/>
  <c r="J73" i="12"/>
  <c r="K65" i="12"/>
  <c r="K103" i="12"/>
  <c r="I84" i="12"/>
  <c r="J144" i="12"/>
  <c r="H103" i="12"/>
  <c r="I144" i="12"/>
  <c r="F151" i="12"/>
  <c r="F162" i="12"/>
  <c r="G109" i="12"/>
  <c r="F84" i="12"/>
  <c r="G73" i="12"/>
  <c r="N65" i="12"/>
  <c r="M92" i="12"/>
  <c r="M162" i="12"/>
  <c r="L144" i="12"/>
  <c r="L73" i="12"/>
  <c r="L109" i="12"/>
  <c r="L84" i="12"/>
  <c r="I65" i="12"/>
  <c r="K278" i="9"/>
  <c r="K44" i="12"/>
  <c r="L44" i="12"/>
  <c r="K232" i="9"/>
  <c r="F18" i="12"/>
  <c r="H44" i="12"/>
  <c r="F44" i="12"/>
  <c r="K195" i="9"/>
  <c r="J44" i="12"/>
  <c r="K176" i="9"/>
  <c r="AK119" i="9"/>
  <c r="AK246" i="9"/>
  <c r="AN254" i="9"/>
  <c r="L49" i="12"/>
  <c r="AO287" i="9"/>
  <c r="K282" i="9"/>
  <c r="K140" i="9"/>
  <c r="E43" i="12" s="1"/>
  <c r="G43" i="12"/>
  <c r="G44" i="12" s="1"/>
  <c r="J290" i="9"/>
  <c r="D165" i="12" s="1"/>
  <c r="J272" i="9"/>
  <c r="D147" i="12" s="1"/>
  <c r="J265" i="9"/>
  <c r="D140" i="12" s="1"/>
  <c r="J255" i="9"/>
  <c r="D130" i="12" s="1"/>
  <c r="J248" i="9"/>
  <c r="D123" i="12" s="1"/>
  <c r="J249" i="9"/>
  <c r="D124" i="12" s="1"/>
  <c r="J267" i="9"/>
  <c r="D142" i="12" s="1"/>
  <c r="J291" i="9"/>
  <c r="D166" i="12" s="1"/>
  <c r="J264" i="9"/>
  <c r="D139" i="12" s="1"/>
  <c r="J282" i="9"/>
  <c r="D157" i="12" s="1"/>
  <c r="J268" i="9"/>
  <c r="D143" i="12" s="1"/>
  <c r="J266" i="9"/>
  <c r="D141" i="12" s="1"/>
  <c r="J283" i="9"/>
  <c r="D158" i="12" s="1"/>
  <c r="J284" i="9"/>
  <c r="D159" i="12" s="1"/>
  <c r="J286" i="9"/>
  <c r="D161" i="12" s="1"/>
  <c r="J273" i="9"/>
  <c r="D148" i="12" s="1"/>
  <c r="J274" i="9"/>
  <c r="D149" i="12" s="1"/>
  <c r="J275" i="9"/>
  <c r="D150" i="12" s="1"/>
  <c r="J285" i="9"/>
  <c r="D160" i="12" s="1"/>
  <c r="I44" i="12"/>
  <c r="N43" i="12"/>
  <c r="L292" i="9"/>
  <c r="N42" i="12"/>
  <c r="M24" i="12"/>
  <c r="J227" i="9"/>
  <c r="J223" i="9"/>
  <c r="J219" i="9"/>
  <c r="D108" i="12" s="1"/>
  <c r="J226" i="9"/>
  <c r="J218" i="9"/>
  <c r="D107" i="12" s="1"/>
  <c r="J213" i="9"/>
  <c r="D102" i="12" s="1"/>
  <c r="J209" i="9"/>
  <c r="J204" i="9"/>
  <c r="J192" i="9"/>
  <c r="D91" i="12" s="1"/>
  <c r="J184" i="9"/>
  <c r="D83" i="12" s="1"/>
  <c r="J180" i="9"/>
  <c r="D79" i="12" s="1"/>
  <c r="J170" i="9"/>
  <c r="D69" i="12" s="1"/>
  <c r="J229" i="9"/>
  <c r="J225" i="9"/>
  <c r="J217" i="9"/>
  <c r="D106" i="12" s="1"/>
  <c r="J212" i="9"/>
  <c r="D101" i="12" s="1"/>
  <c r="J203" i="9"/>
  <c r="J191" i="9"/>
  <c r="D90" i="12" s="1"/>
  <c r="J173" i="9"/>
  <c r="D72" i="12" s="1"/>
  <c r="J162" i="9"/>
  <c r="D61" i="12" s="1"/>
  <c r="J224" i="9"/>
  <c r="J210" i="9"/>
  <c r="D99" i="12" s="1"/>
  <c r="J206" i="9"/>
  <c r="J201" i="9"/>
  <c r="J189" i="9"/>
  <c r="D88" i="12" s="1"/>
  <c r="J181" i="9"/>
  <c r="D80" i="12" s="1"/>
  <c r="J171" i="9"/>
  <c r="D70" i="12" s="1"/>
  <c r="J164" i="9"/>
  <c r="D63" i="12" s="1"/>
  <c r="J222" i="9"/>
  <c r="J221" i="9"/>
  <c r="J208" i="9"/>
  <c r="J183" i="9"/>
  <c r="D82" i="12" s="1"/>
  <c r="J228" i="9"/>
  <c r="J220" i="9"/>
  <c r="J207" i="9"/>
  <c r="J190" i="9"/>
  <c r="D89" i="12" s="1"/>
  <c r="J172" i="9"/>
  <c r="D71" i="12" s="1"/>
  <c r="J211" i="9"/>
  <c r="D100" i="12" s="1"/>
  <c r="J202" i="9"/>
  <c r="J182" i="9"/>
  <c r="D81" i="12" s="1"/>
  <c r="J165" i="9"/>
  <c r="D64" i="12" s="1"/>
  <c r="J205" i="9"/>
  <c r="J188" i="9"/>
  <c r="D87" i="12" s="1"/>
  <c r="J200" i="9"/>
  <c r="J199" i="9"/>
  <c r="D98" i="12" s="1"/>
  <c r="H24" i="12"/>
  <c r="I24" i="12"/>
  <c r="I18" i="12"/>
  <c r="J24" i="12"/>
  <c r="L24" i="12"/>
  <c r="K24" i="12"/>
  <c r="G24" i="12"/>
  <c r="K18" i="12"/>
  <c r="AI98" i="9"/>
  <c r="AD98" i="9"/>
  <c r="V98" i="9"/>
  <c r="AL98" i="9"/>
  <c r="Y98" i="9"/>
  <c r="L98" i="9"/>
  <c r="AC98" i="9"/>
  <c r="AB98" i="9"/>
  <c r="T98" i="9"/>
  <c r="Z98" i="9"/>
  <c r="AM98" i="9"/>
  <c r="R98" i="9"/>
  <c r="U98" i="9"/>
  <c r="AK98" i="9"/>
  <c r="W98" i="9"/>
  <c r="X98" i="9"/>
  <c r="AF98" i="9"/>
  <c r="Q98" i="9"/>
  <c r="P98" i="9"/>
  <c r="N98" i="9"/>
  <c r="AJ98" i="9"/>
  <c r="M98" i="9"/>
  <c r="AG98" i="9"/>
  <c r="O98" i="9"/>
  <c r="AE98" i="9"/>
  <c r="AO98" i="9"/>
  <c r="AA98" i="9"/>
  <c r="S98" i="9"/>
  <c r="AN98" i="9"/>
  <c r="AH98" i="9"/>
  <c r="AK85" i="9"/>
  <c r="AK86" i="9"/>
  <c r="AK57" i="9"/>
  <c r="AK84" i="9"/>
  <c r="K82" i="9"/>
  <c r="E24" i="12" s="1"/>
  <c r="AM23" i="9"/>
  <c r="AL35" i="9"/>
  <c r="AO144" i="9"/>
  <c r="J139" i="9"/>
  <c r="D42" i="12" s="1"/>
  <c r="J140" i="9"/>
  <c r="D43" i="12" s="1"/>
  <c r="AO141" i="9"/>
  <c r="K139" i="9"/>
  <c r="J133" i="9"/>
  <c r="J132" i="9"/>
  <c r="D35" i="12" s="1"/>
  <c r="D36" i="12" s="1"/>
  <c r="D38" i="12" s="1"/>
  <c r="D36" i="11" s="1"/>
  <c r="J135" i="9"/>
  <c r="AO61" i="9"/>
  <c r="AO79" i="9"/>
  <c r="AO124" i="9"/>
  <c r="M27" i="12" s="1"/>
  <c r="AO123" i="9"/>
  <c r="M26" i="12" s="1"/>
  <c r="K61" i="9"/>
  <c r="AO64" i="9"/>
  <c r="J64" i="9" s="1"/>
  <c r="AO65" i="9"/>
  <c r="J65" i="9" s="1"/>
  <c r="J82" i="9"/>
  <c r="D24" i="12" s="1"/>
  <c r="J72" i="9"/>
  <c r="J69" i="9"/>
  <c r="J66" i="9"/>
  <c r="J71" i="9"/>
  <c r="J70" i="9"/>
  <c r="J67" i="9"/>
  <c r="J68" i="9"/>
  <c r="J62" i="9"/>
  <c r="J36" i="9"/>
  <c r="D17" i="12" s="1"/>
  <c r="AG352" i="8"/>
  <c r="AG347" i="8"/>
  <c r="AG346" i="8" s="1"/>
  <c r="AO145" i="9" s="1"/>
  <c r="J125" i="9" l="1"/>
  <c r="D28" i="12" s="1"/>
  <c r="AN145" i="9"/>
  <c r="AN293" i="9" s="1"/>
  <c r="AN294" i="9" s="1"/>
  <c r="AN296" i="9" s="1"/>
  <c r="L169" i="12"/>
  <c r="L171" i="12" s="1"/>
  <c r="L103" i="11" s="1"/>
  <c r="AO292" i="9"/>
  <c r="M47" i="12"/>
  <c r="M153" i="12"/>
  <c r="M102" i="11" s="1"/>
  <c r="H153" i="12"/>
  <c r="H102" i="11" s="1"/>
  <c r="I111" i="12"/>
  <c r="G94" i="12"/>
  <c r="J111" i="12"/>
  <c r="AN174" i="9"/>
  <c r="M68" i="12"/>
  <c r="M73" i="12" s="1"/>
  <c r="AM247" i="9"/>
  <c r="L122" i="12" s="1"/>
  <c r="AM166" i="9"/>
  <c r="AM176" i="9" s="1"/>
  <c r="AM236" i="9" s="1"/>
  <c r="AM237" i="9" s="1"/>
  <c r="AN235" i="9" s="1"/>
  <c r="I153" i="12"/>
  <c r="I102" i="11" s="1"/>
  <c r="K75" i="12"/>
  <c r="N75" i="12"/>
  <c r="I75" i="12"/>
  <c r="L75" i="12"/>
  <c r="F94" i="12"/>
  <c r="N94" i="12"/>
  <c r="D86" i="11"/>
  <c r="D85" i="11"/>
  <c r="L153" i="12"/>
  <c r="L102" i="11" s="1"/>
  <c r="H94" i="12"/>
  <c r="J94" i="12"/>
  <c r="L94" i="12"/>
  <c r="F111" i="12"/>
  <c r="K94" i="12"/>
  <c r="J153" i="12"/>
  <c r="J102" i="11" s="1"/>
  <c r="G75" i="12"/>
  <c r="N153" i="12"/>
  <c r="N102" i="11" s="1"/>
  <c r="H75" i="12"/>
  <c r="I94" i="12"/>
  <c r="M111" i="12"/>
  <c r="D109" i="12"/>
  <c r="G153" i="12"/>
  <c r="G102" i="11" s="1"/>
  <c r="D73" i="12"/>
  <c r="D84" i="12"/>
  <c r="D103" i="12"/>
  <c r="K111" i="12"/>
  <c r="N111" i="12"/>
  <c r="K153" i="12"/>
  <c r="K102" i="11" s="1"/>
  <c r="D92" i="12"/>
  <c r="D162" i="12"/>
  <c r="AK250" i="9"/>
  <c r="M94" i="12"/>
  <c r="F75" i="12"/>
  <c r="D144" i="12"/>
  <c r="K287" i="9"/>
  <c r="E157" i="12"/>
  <c r="E162" i="12" s="1"/>
  <c r="L111" i="12"/>
  <c r="D151" i="12"/>
  <c r="H111" i="12"/>
  <c r="F153" i="12"/>
  <c r="F102" i="11" s="1"/>
  <c r="G111" i="12"/>
  <c r="J75" i="12"/>
  <c r="L51" i="12"/>
  <c r="L37" i="11" s="1"/>
  <c r="J269" i="9"/>
  <c r="J276" i="9"/>
  <c r="J287" i="9"/>
  <c r="K141" i="9"/>
  <c r="E42" i="12"/>
  <c r="E44" i="12" s="1"/>
  <c r="N47" i="12"/>
  <c r="AL119" i="9"/>
  <c r="AL246" i="9"/>
  <c r="N44" i="12"/>
  <c r="J193" i="9"/>
  <c r="J174" i="9"/>
  <c r="D44" i="12"/>
  <c r="J185" i="9"/>
  <c r="J214" i="9"/>
  <c r="J230" i="9"/>
  <c r="AO75" i="9"/>
  <c r="AO74" i="9" s="1"/>
  <c r="H26" i="12"/>
  <c r="N26" i="12"/>
  <c r="J124" i="9"/>
  <c r="D27" i="12" s="1"/>
  <c r="N27" i="12"/>
  <c r="AL85" i="9"/>
  <c r="AL86" i="9"/>
  <c r="AL57" i="9"/>
  <c r="AL84" i="9"/>
  <c r="AN23" i="9"/>
  <c r="AM35" i="9"/>
  <c r="L16" i="12" s="1"/>
  <c r="AH347" i="8"/>
  <c r="J141" i="9"/>
  <c r="AO293" i="9"/>
  <c r="J61" i="9"/>
  <c r="J123" i="9"/>
  <c r="D26" i="12" s="1"/>
  <c r="K64" i="9"/>
  <c r="K35" i="9"/>
  <c r="M168" i="12" l="1"/>
  <c r="AN146" i="9"/>
  <c r="AN148" i="9" s="1"/>
  <c r="L83" i="11"/>
  <c r="L18" i="12"/>
  <c r="AO254" i="9"/>
  <c r="M129" i="12" s="1"/>
  <c r="M22" i="12"/>
  <c r="M62" i="12"/>
  <c r="M65" i="12" s="1"/>
  <c r="M75" i="12" s="1"/>
  <c r="M115" i="12" s="1"/>
  <c r="J163" i="9"/>
  <c r="N167" i="12"/>
  <c r="M167" i="12"/>
  <c r="M48" i="12"/>
  <c r="M49" i="12" s="1"/>
  <c r="M51" i="12" s="1"/>
  <c r="M37" i="11" s="1"/>
  <c r="N115" i="12"/>
  <c r="I115" i="12"/>
  <c r="K115" i="12"/>
  <c r="L115" i="12"/>
  <c r="G115" i="12"/>
  <c r="F115" i="12"/>
  <c r="F116" i="12" s="1"/>
  <c r="G114" i="12" s="1"/>
  <c r="J115" i="12"/>
  <c r="H115" i="12"/>
  <c r="AN247" i="9"/>
  <c r="M122" i="12" s="1"/>
  <c r="AN166" i="9"/>
  <c r="AN176" i="9" s="1"/>
  <c r="AN236" i="9" s="1"/>
  <c r="AN237" i="9" s="1"/>
  <c r="E102" i="11"/>
  <c r="D102" i="11"/>
  <c r="D111" i="12"/>
  <c r="AO294" i="9"/>
  <c r="AO296" i="9" s="1"/>
  <c r="N168" i="12"/>
  <c r="D94" i="12"/>
  <c r="H129" i="12"/>
  <c r="N129" i="12"/>
  <c r="D153" i="12"/>
  <c r="J278" i="9"/>
  <c r="J195" i="9"/>
  <c r="AM119" i="9"/>
  <c r="AM246" i="9"/>
  <c r="AM250" i="9" s="1"/>
  <c r="AL250" i="9"/>
  <c r="AO146" i="9"/>
  <c r="AO148" i="9" s="1"/>
  <c r="N48" i="12"/>
  <c r="N49" i="12" s="1"/>
  <c r="N51" i="12" s="1"/>
  <c r="N37" i="11" s="1"/>
  <c r="K254" i="9"/>
  <c r="E129" i="12" s="1"/>
  <c r="J254" i="9"/>
  <c r="D129" i="12" s="1"/>
  <c r="J232" i="9"/>
  <c r="K57" i="9"/>
  <c r="E16" i="12"/>
  <c r="E18" i="12" s="1"/>
  <c r="J74" i="9"/>
  <c r="D22" i="12" s="1"/>
  <c r="G22" i="12"/>
  <c r="H22" i="12"/>
  <c r="N22" i="12"/>
  <c r="AM85" i="9"/>
  <c r="AM86" i="9"/>
  <c r="AM57" i="9"/>
  <c r="AM84" i="9"/>
  <c r="AO23" i="9"/>
  <c r="AO35" i="9" s="1"/>
  <c r="AN35" i="9"/>
  <c r="AN246" i="9" s="1"/>
  <c r="AN250" i="9" s="1"/>
  <c r="M169" i="12" l="1"/>
  <c r="M171" i="12" s="1"/>
  <c r="M103" i="11" s="1"/>
  <c r="J236" i="9"/>
  <c r="J247" i="9"/>
  <c r="D122" i="12" s="1"/>
  <c r="D62" i="12"/>
  <c r="D65" i="12" s="1"/>
  <c r="D75" i="12" s="1"/>
  <c r="J166" i="9"/>
  <c r="J176" i="9" s="1"/>
  <c r="L121" i="12"/>
  <c r="L125" i="12" s="1"/>
  <c r="N169" i="12"/>
  <c r="N171" i="12" s="1"/>
  <c r="N103" i="11" s="1"/>
  <c r="G116" i="12"/>
  <c r="H114" i="12" s="1"/>
  <c r="H116" i="12" s="1"/>
  <c r="I114" i="12" s="1"/>
  <c r="I116" i="12" s="1"/>
  <c r="J114" i="12" s="1"/>
  <c r="J116" i="12" s="1"/>
  <c r="K114" i="12" s="1"/>
  <c r="K116" i="12" s="1"/>
  <c r="L114" i="12" s="1"/>
  <c r="L116" i="12" s="1"/>
  <c r="M114" i="12" s="1"/>
  <c r="M116" i="12" s="1"/>
  <c r="N114" i="12" s="1"/>
  <c r="N116" i="12" s="1"/>
  <c r="AO246" i="9"/>
  <c r="AO250" i="9" s="1"/>
  <c r="H16" i="12"/>
  <c r="G16" i="12"/>
  <c r="N16" i="12"/>
  <c r="M16" i="12"/>
  <c r="AO235" i="9"/>
  <c r="J246" i="9"/>
  <c r="K246" i="9"/>
  <c r="AN119" i="9"/>
  <c r="AO119" i="9"/>
  <c r="AN86" i="9"/>
  <c r="AO85" i="9"/>
  <c r="AO86" i="9"/>
  <c r="AN84" i="9"/>
  <c r="AN85" i="9"/>
  <c r="AO57" i="9"/>
  <c r="AO84" i="9"/>
  <c r="AN57" i="9"/>
  <c r="J35" i="9"/>
  <c r="M121" i="12" l="1"/>
  <c r="M125" i="12" s="1"/>
  <c r="D115" i="12"/>
  <c r="D116" i="12" s="1"/>
  <c r="J237" i="9"/>
  <c r="J240" i="9" s="1"/>
  <c r="G30" i="13" s="1"/>
  <c r="G18" i="12"/>
  <c r="G83" i="11"/>
  <c r="H18" i="12"/>
  <c r="H83" i="11"/>
  <c r="N18" i="12"/>
  <c r="N83" i="11"/>
  <c r="M18" i="12"/>
  <c r="M83" i="11"/>
  <c r="J250" i="9"/>
  <c r="D121" i="12"/>
  <c r="D125" i="12" s="1"/>
  <c r="G121" i="12"/>
  <c r="G125" i="12" s="1"/>
  <c r="H121" i="12"/>
  <c r="H125" i="12" s="1"/>
  <c r="N121" i="12"/>
  <c r="N125" i="12" s="1"/>
  <c r="K250" i="9"/>
  <c r="E121" i="12"/>
  <c r="E125" i="12" s="1"/>
  <c r="AO237" i="9"/>
  <c r="J57" i="9"/>
  <c r="D16" i="12"/>
  <c r="D18" i="12" s="1"/>
  <c r="G26" i="4"/>
  <c r="L26" i="4" s="1"/>
  <c r="D351" i="8" l="1"/>
  <c r="D346" i="8" s="1"/>
  <c r="L145" i="9" s="1"/>
  <c r="E83" i="11"/>
  <c r="D83" i="11"/>
  <c r="L27" i="4"/>
  <c r="E351" i="8" s="1"/>
  <c r="E346" i="8" s="1"/>
  <c r="M145" i="9" l="1"/>
  <c r="M293" i="9" s="1"/>
  <c r="M294" i="9" s="1"/>
  <c r="M296" i="9" s="1"/>
  <c r="G27" i="4"/>
  <c r="L28" i="4" s="1"/>
  <c r="F351" i="8" s="1"/>
  <c r="F346" i="8" s="1"/>
  <c r="N145" i="9" s="1"/>
  <c r="M146" i="9" l="1"/>
  <c r="M148" i="9" s="1"/>
  <c r="N146" i="9"/>
  <c r="N148" i="9" s="1"/>
  <c r="N293" i="9"/>
  <c r="N294" i="9" s="1"/>
  <c r="N296" i="9" s="1"/>
  <c r="L293" i="9"/>
  <c r="L146" i="9"/>
  <c r="L148" i="9" s="1"/>
  <c r="G28" i="4"/>
  <c r="L29" i="4" s="1"/>
  <c r="G351" i="8" s="1"/>
  <c r="G346" i="8" s="1"/>
  <c r="F29" i="4"/>
  <c r="G345" i="8" l="1"/>
  <c r="G357" i="8" s="1"/>
  <c r="O145" i="9"/>
  <c r="L294" i="9"/>
  <c r="L296" i="9" s="1"/>
  <c r="G29" i="4"/>
  <c r="L30" i="4" s="1"/>
  <c r="H351" i="8" s="1"/>
  <c r="H346" i="8" s="1"/>
  <c r="P145" i="9" s="1"/>
  <c r="A29" i="4"/>
  <c r="F30" i="4" s="1"/>
  <c r="G340" i="8" l="1"/>
  <c r="O293" i="9"/>
  <c r="F168" i="12" s="1"/>
  <c r="F48" i="12"/>
  <c r="P293" i="9"/>
  <c r="O144" i="9"/>
  <c r="F47" i="12" s="1"/>
  <c r="H345" i="8"/>
  <c r="H340" i="8" s="1"/>
  <c r="P144" i="9" s="1"/>
  <c r="P292" i="9" s="1"/>
  <c r="F49" i="12" l="1"/>
  <c r="F51" i="12" s="1"/>
  <c r="F37" i="11" s="1"/>
  <c r="P146" i="9"/>
  <c r="P148" i="9" s="1"/>
  <c r="H357" i="8"/>
  <c r="O292" i="9"/>
  <c r="F167" i="12" s="1"/>
  <c r="F169" i="12" s="1"/>
  <c r="F171" i="12" s="1"/>
  <c r="F103" i="11" s="1"/>
  <c r="P294" i="9"/>
  <c r="P296" i="9" s="1"/>
  <c r="O146" i="9"/>
  <c r="O148" i="9" s="1"/>
  <c r="A30" i="4"/>
  <c r="G30" i="4"/>
  <c r="L31" i="4" s="1"/>
  <c r="I351" i="8" s="1"/>
  <c r="I346" i="8" s="1"/>
  <c r="Q145" i="9" s="1"/>
  <c r="O294" i="9" l="1"/>
  <c r="O296" i="9" s="1"/>
  <c r="F31" i="4"/>
  <c r="I345" i="8" s="1"/>
  <c r="Q293" i="9" l="1"/>
  <c r="I340" i="8"/>
  <c r="I357" i="8"/>
  <c r="A31" i="4"/>
  <c r="G31" i="4"/>
  <c r="L32" i="4" s="1"/>
  <c r="J351" i="8" s="1"/>
  <c r="J346" i="8" s="1"/>
  <c r="R145" i="9" l="1"/>
  <c r="R293" i="9" s="1"/>
  <c r="Q144" i="9"/>
  <c r="F32" i="4"/>
  <c r="J345" i="8" s="1"/>
  <c r="Q292" i="9" l="1"/>
  <c r="Q294" i="9" s="1"/>
  <c r="Q296" i="9" s="1"/>
  <c r="J340" i="8"/>
  <c r="J357" i="8"/>
  <c r="Q146" i="9"/>
  <c r="Q148" i="9" s="1"/>
  <c r="A32" i="4"/>
  <c r="G32" i="4"/>
  <c r="L33" i="4" s="1"/>
  <c r="K351" i="8" s="1"/>
  <c r="K346" i="8" s="1"/>
  <c r="S145" i="9" s="1"/>
  <c r="S293" i="9" l="1"/>
  <c r="G48" i="12"/>
  <c r="R144" i="9"/>
  <c r="F33" i="4"/>
  <c r="K345" i="8" l="1"/>
  <c r="K340" i="8" s="1"/>
  <c r="R292" i="9"/>
  <c r="R294" i="9" s="1"/>
  <c r="R296" i="9" s="1"/>
  <c r="R146" i="9"/>
  <c r="R148" i="9" s="1"/>
  <c r="A33" i="4"/>
  <c r="F34" i="4" s="1"/>
  <c r="G33" i="4"/>
  <c r="L34" i="4" s="1"/>
  <c r="L351" i="8" s="1"/>
  <c r="L346" i="8" s="1"/>
  <c r="T145" i="9" s="1"/>
  <c r="K357" i="8" l="1"/>
  <c r="T293" i="9"/>
  <c r="S144" i="9"/>
  <c r="L345" i="8"/>
  <c r="L340" i="8" s="1"/>
  <c r="T144" i="9" s="1"/>
  <c r="T292" i="9" s="1"/>
  <c r="T294" i="9" l="1"/>
  <c r="T296" i="9" s="1"/>
  <c r="T146" i="9"/>
  <c r="T148" i="9" s="1"/>
  <c r="L357" i="8"/>
  <c r="S292" i="9"/>
  <c r="S294" i="9" s="1"/>
  <c r="S296" i="9" s="1"/>
  <c r="G47" i="12"/>
  <c r="G49" i="12" s="1"/>
  <c r="G51" i="12" s="1"/>
  <c r="G37" i="11" s="1"/>
  <c r="S146" i="9"/>
  <c r="S148" i="9" s="1"/>
  <c r="A34" i="4"/>
  <c r="G34" i="4"/>
  <c r="L35" i="4" s="1"/>
  <c r="M351" i="8" s="1"/>
  <c r="M346" i="8" s="1"/>
  <c r="U145" i="9" l="1"/>
  <c r="U293" i="9" s="1"/>
  <c r="F35" i="4"/>
  <c r="M345" i="8" s="1"/>
  <c r="M340" i="8" l="1"/>
  <c r="M357" i="8"/>
  <c r="G35" i="4"/>
  <c r="L36" i="4" s="1"/>
  <c r="N351" i="8" s="1"/>
  <c r="N346" i="8" s="1"/>
  <c r="A35" i="4"/>
  <c r="V145" i="9" l="1"/>
  <c r="V293" i="9" s="1"/>
  <c r="U144" i="9"/>
  <c r="U292" i="9" s="1"/>
  <c r="F36" i="4"/>
  <c r="N345" i="8" s="1"/>
  <c r="U294" i="9" l="1"/>
  <c r="U296" i="9" s="1"/>
  <c r="N340" i="8"/>
  <c r="V144" i="9" s="1"/>
  <c r="N357" i="8"/>
  <c r="U146" i="9"/>
  <c r="U148" i="9" s="1"/>
  <c r="A36" i="4"/>
  <c r="F37" i="4" s="1"/>
  <c r="G36" i="4"/>
  <c r="L37" i="4" s="1"/>
  <c r="O351" i="8" s="1"/>
  <c r="O346" i="8" s="1"/>
  <c r="W145" i="9" l="1"/>
  <c r="W293" i="9" s="1"/>
  <c r="V146" i="9"/>
  <c r="V148" i="9" s="1"/>
  <c r="V292" i="9"/>
  <c r="O345" i="8" l="1"/>
  <c r="O340" i="8" s="1"/>
  <c r="W144" i="9" s="1"/>
  <c r="W292" i="9" s="1"/>
  <c r="W294" i="9" s="1"/>
  <c r="W296" i="9" s="1"/>
  <c r="V294" i="9"/>
  <c r="V296" i="9" s="1"/>
  <c r="A37" i="4"/>
  <c r="F38" i="4" s="1"/>
  <c r="G37" i="4"/>
  <c r="L38" i="4" s="1"/>
  <c r="P351" i="8" s="1"/>
  <c r="P346" i="8" s="1"/>
  <c r="X145" i="9" s="1"/>
  <c r="O357" i="8" l="1"/>
  <c r="X293" i="9"/>
  <c r="W146" i="9"/>
  <c r="W148" i="9" s="1"/>
  <c r="P345" i="8"/>
  <c r="P340" i="8" l="1"/>
  <c r="X144" i="9" s="1"/>
  <c r="P357" i="8"/>
  <c r="A38" i="4"/>
  <c r="F39" i="4" s="1"/>
  <c r="G38" i="4"/>
  <c r="L39" i="4" s="1"/>
  <c r="Q351" i="8" s="1"/>
  <c r="Q346" i="8" s="1"/>
  <c r="X292" i="9" l="1"/>
  <c r="X294" i="9" s="1"/>
  <c r="X296" i="9" s="1"/>
  <c r="X146" i="9"/>
  <c r="X148" i="9" s="1"/>
  <c r="Y145" i="9"/>
  <c r="Y293" i="9" s="1"/>
  <c r="Q345" i="8"/>
  <c r="Q340" i="8" l="1"/>
  <c r="Y144" i="9" s="1"/>
  <c r="Q357" i="8"/>
  <c r="A39" i="4"/>
  <c r="F40" i="4" s="1"/>
  <c r="G39" i="4"/>
  <c r="L40" i="4" s="1"/>
  <c r="R351" i="8" s="1"/>
  <c r="R346" i="8" s="1"/>
  <c r="Z145" i="9" l="1"/>
  <c r="Z293" i="9" s="1"/>
  <c r="Y292" i="9"/>
  <c r="Y294" i="9" s="1"/>
  <c r="Y296" i="9" s="1"/>
  <c r="Y146" i="9"/>
  <c r="Y148" i="9" s="1"/>
  <c r="R345" i="8"/>
  <c r="R340" i="8" l="1"/>
  <c r="Z144" i="9" s="1"/>
  <c r="R357" i="8"/>
  <c r="A40" i="4"/>
  <c r="F41" i="4" s="1"/>
  <c r="G40" i="4"/>
  <c r="L41" i="4" s="1"/>
  <c r="S351" i="8" s="1"/>
  <c r="S346" i="8" s="1"/>
  <c r="AA145" i="9" l="1"/>
  <c r="AA293" i="9" s="1"/>
  <c r="Z292" i="9"/>
  <c r="Z294" i="9" s="1"/>
  <c r="Z296" i="9" s="1"/>
  <c r="Z146" i="9"/>
  <c r="Z148" i="9" s="1"/>
  <c r="S345" i="8" l="1"/>
  <c r="S340" i="8" s="1"/>
  <c r="AA144" i="9" s="1"/>
  <c r="A41" i="4"/>
  <c r="F42" i="4" s="1"/>
  <c r="G41" i="4"/>
  <c r="L42" i="4" s="1"/>
  <c r="T351" i="8" s="1"/>
  <c r="T346" i="8" s="1"/>
  <c r="AB145" i="9" s="1"/>
  <c r="S357" i="8" l="1"/>
  <c r="AA292" i="9"/>
  <c r="I167" i="12" s="1"/>
  <c r="I47" i="12"/>
  <c r="AB293" i="9"/>
  <c r="AA146" i="9"/>
  <c r="AA148" i="9" s="1"/>
  <c r="T345" i="8"/>
  <c r="T340" i="8" l="1"/>
  <c r="AB144" i="9" s="1"/>
  <c r="T357" i="8"/>
  <c r="AA294" i="9"/>
  <c r="AA296" i="9" s="1"/>
  <c r="A42" i="4"/>
  <c r="F43" i="4" s="1"/>
  <c r="G42" i="4"/>
  <c r="L43" i="4" s="1"/>
  <c r="U351" i="8" s="1"/>
  <c r="U346" i="8" s="1"/>
  <c r="AB292" i="9" l="1"/>
  <c r="AB294" i="9" s="1"/>
  <c r="AB296" i="9" s="1"/>
  <c r="AB146" i="9"/>
  <c r="AB148" i="9" s="1"/>
  <c r="AC145" i="9"/>
  <c r="AC293" i="9" s="1"/>
  <c r="U345" i="8"/>
  <c r="U340" i="8" l="1"/>
  <c r="AC144" i="9" s="1"/>
  <c r="U357" i="8"/>
  <c r="A43" i="4"/>
  <c r="F44" i="4" s="1"/>
  <c r="G43" i="4"/>
  <c r="L44" i="4" s="1"/>
  <c r="V351" i="8" s="1"/>
  <c r="V346" i="8" s="1"/>
  <c r="AD145" i="9" l="1"/>
  <c r="AD293" i="9" s="1"/>
  <c r="AC292" i="9"/>
  <c r="AC294" i="9" s="1"/>
  <c r="AC296" i="9" s="1"/>
  <c r="AC146" i="9"/>
  <c r="AC148" i="9" s="1"/>
  <c r="V345" i="8"/>
  <c r="V340" i="8" l="1"/>
  <c r="AD144" i="9" s="1"/>
  <c r="V357" i="8"/>
  <c r="A44" i="4"/>
  <c r="F45" i="4" s="1"/>
  <c r="G44" i="4"/>
  <c r="L45" i="4" s="1"/>
  <c r="W351" i="8" s="1"/>
  <c r="W346" i="8" s="1"/>
  <c r="AE145" i="9" l="1"/>
  <c r="AE293" i="9" s="1"/>
  <c r="AD292" i="9"/>
  <c r="AD294" i="9" s="1"/>
  <c r="AD296" i="9" s="1"/>
  <c r="AD146" i="9"/>
  <c r="AD148" i="9" s="1"/>
  <c r="W345" i="8"/>
  <c r="W340" i="8" l="1"/>
  <c r="AE144" i="9" s="1"/>
  <c r="W357" i="8"/>
  <c r="A45" i="4"/>
  <c r="F46" i="4" s="1"/>
  <c r="G45" i="4"/>
  <c r="L46" i="4" s="1"/>
  <c r="X351" i="8" s="1"/>
  <c r="AE292" i="9" l="1"/>
  <c r="J167" i="12" s="1"/>
  <c r="J47" i="12"/>
  <c r="AE146" i="9"/>
  <c r="AE148" i="9" s="1"/>
  <c r="X346" i="8"/>
  <c r="AF145" i="9" s="1"/>
  <c r="AH351" i="8"/>
  <c r="X345" i="8"/>
  <c r="AE294" i="9" l="1"/>
  <c r="AE296" i="9" s="1"/>
  <c r="X340" i="8"/>
  <c r="AA357" i="8"/>
  <c r="Y357" i="8"/>
  <c r="Z357" i="8"/>
  <c r="AC357" i="8"/>
  <c r="AB357" i="8"/>
  <c r="AF357" i="8"/>
  <c r="AG357" i="8"/>
  <c r="X357" i="8"/>
  <c r="AD357" i="8"/>
  <c r="AH345" i="8"/>
  <c r="AE357" i="8"/>
  <c r="AF293" i="9"/>
  <c r="AH346" i="8"/>
  <c r="A46" i="4"/>
  <c r="G46" i="4"/>
  <c r="L55" i="4" s="1"/>
  <c r="G168" i="12" l="1"/>
  <c r="H168" i="12"/>
  <c r="I168" i="12"/>
  <c r="I169" i="12" s="1"/>
  <c r="I171" i="12" s="1"/>
  <c r="I103" i="11" s="1"/>
  <c r="J168" i="12"/>
  <c r="J169" i="12" s="1"/>
  <c r="J171" i="12" s="1"/>
  <c r="J103" i="11" s="1"/>
  <c r="K168" i="12"/>
  <c r="K293" i="9"/>
  <c r="E168" i="12" s="1"/>
  <c r="J293" i="9"/>
  <c r="D168" i="12" s="1"/>
  <c r="H48" i="12"/>
  <c r="I48" i="12"/>
  <c r="I49" i="12" s="1"/>
  <c r="I51" i="12" s="1"/>
  <c r="I37" i="11" s="1"/>
  <c r="J48" i="12"/>
  <c r="J49" i="12" s="1"/>
  <c r="J51" i="12" s="1"/>
  <c r="J37" i="11" s="1"/>
  <c r="K48" i="12"/>
  <c r="J145" i="9"/>
  <c r="D48" i="12" s="1"/>
  <c r="K145" i="9"/>
  <c r="E48" i="12" s="1"/>
  <c r="AF144" i="9"/>
  <c r="AF292" i="9" s="1"/>
  <c r="G167" i="12" s="1"/>
  <c r="AH340" i="8"/>
  <c r="F373" i="8" s="1"/>
  <c r="F47" i="4"/>
  <c r="A47" i="4" s="1"/>
  <c r="G21" i="13" l="1"/>
  <c r="G169" i="12"/>
  <c r="G171" i="12" s="1"/>
  <c r="G103" i="11" s="1"/>
  <c r="H167" i="12"/>
  <c r="H169" i="12" s="1"/>
  <c r="H171" i="12" s="1"/>
  <c r="H103" i="11" s="1"/>
  <c r="K167" i="12"/>
  <c r="K169" i="12" s="1"/>
  <c r="K171" i="12" s="1"/>
  <c r="K103" i="11" s="1"/>
  <c r="AF294" i="9"/>
  <c r="AF296" i="9" s="1"/>
  <c r="J292" i="9"/>
  <c r="K292" i="9"/>
  <c r="H47" i="12"/>
  <c r="H49" i="12" s="1"/>
  <c r="H51" i="12" s="1"/>
  <c r="H37" i="11" s="1"/>
  <c r="K47" i="12"/>
  <c r="K49" i="12" s="1"/>
  <c r="K51" i="12" s="1"/>
  <c r="K37" i="11" s="1"/>
  <c r="J144" i="9"/>
  <c r="K144" i="9"/>
  <c r="AF146" i="9"/>
  <c r="AF148" i="9" s="1"/>
  <c r="G47" i="4"/>
  <c r="E103" i="11" l="1"/>
  <c r="D103" i="11"/>
  <c r="K294" i="9"/>
  <c r="K296" i="9" s="1"/>
  <c r="E167" i="12"/>
  <c r="E169" i="12" s="1"/>
  <c r="E171" i="12" s="1"/>
  <c r="J294" i="9"/>
  <c r="J296" i="9" s="1"/>
  <c r="D167" i="12"/>
  <c r="D169" i="12" s="1"/>
  <c r="D171" i="12" s="1"/>
  <c r="K146" i="9"/>
  <c r="E47" i="12"/>
  <c r="E49" i="12" s="1"/>
  <c r="E51" i="12" s="1"/>
  <c r="E37" i="11" s="1"/>
  <c r="J146" i="9"/>
  <c r="D47" i="12"/>
  <c r="D49" i="12" s="1"/>
  <c r="D51" i="12" s="1"/>
  <c r="D37" i="11" s="1"/>
  <c r="J148" i="9"/>
  <c r="K148" i="9"/>
  <c r="F48" i="4"/>
  <c r="G48" i="4" l="1"/>
  <c r="A48" i="4"/>
  <c r="F49" i="4" l="1"/>
  <c r="G49" i="4" l="1"/>
  <c r="A49" i="4"/>
  <c r="F50" i="4" l="1"/>
  <c r="G50" i="4" l="1"/>
  <c r="A50" i="4"/>
  <c r="F51" i="4" l="1"/>
  <c r="G51" i="4" l="1"/>
  <c r="A51" i="4"/>
  <c r="F52" i="4" l="1"/>
  <c r="G52" i="4" l="1"/>
  <c r="A52" i="4"/>
  <c r="F53" i="4" l="1"/>
  <c r="G53" i="4" l="1"/>
  <c r="A53" i="4"/>
  <c r="F54" i="4" l="1"/>
  <c r="A54" i="4" l="1"/>
  <c r="F55" i="4"/>
  <c r="L19" i="4" s="1"/>
  <c r="G54" i="4"/>
  <c r="J19" i="4" l="1"/>
  <c r="J20" i="4" s="1"/>
  <c r="L20" i="4" s="1"/>
  <c r="G275" i="8" l="1"/>
  <c r="H275" i="8"/>
  <c r="I275" i="8"/>
  <c r="J275" i="8"/>
  <c r="K275" i="8"/>
  <c r="L275" i="8"/>
  <c r="M275" i="8"/>
  <c r="N275" i="8"/>
  <c r="O275" i="8"/>
  <c r="P275" i="8"/>
  <c r="Q275" i="8"/>
  <c r="R275" i="8"/>
  <c r="S275" i="8"/>
  <c r="T275" i="8"/>
  <c r="U275" i="8"/>
  <c r="V275" i="8"/>
  <c r="W275" i="8"/>
  <c r="X275" i="8"/>
  <c r="Y275" i="8"/>
  <c r="Z275" i="8"/>
  <c r="AA275" i="8"/>
  <c r="AB275" i="8"/>
  <c r="AC275" i="8"/>
  <c r="AD275" i="8"/>
  <c r="AE275" i="8"/>
  <c r="AF275" i="8"/>
  <c r="AG275" i="8"/>
  <c r="AH275" i="8"/>
  <c r="AI275" i="8"/>
  <c r="AJ275" i="8"/>
  <c r="AD63" i="9" l="1"/>
  <c r="AD60" i="9" s="1"/>
  <c r="Y286" i="8"/>
  <c r="AA63" i="9"/>
  <c r="AA60" i="9" s="1"/>
  <c r="V286" i="8"/>
  <c r="S63" i="9"/>
  <c r="S60" i="9" s="1"/>
  <c r="N286" i="8"/>
  <c r="AI63" i="9"/>
  <c r="AI60" i="9" s="1"/>
  <c r="AD286" i="8"/>
  <c r="AH63" i="9"/>
  <c r="AH60" i="9" s="1"/>
  <c r="AC286" i="8"/>
  <c r="Z63" i="9"/>
  <c r="Z60" i="9" s="1"/>
  <c r="U286" i="8"/>
  <c r="R63" i="9"/>
  <c r="R60" i="9" s="1"/>
  <c r="M286" i="8"/>
  <c r="AO63" i="9"/>
  <c r="AO60" i="9" s="1"/>
  <c r="AJ286" i="8"/>
  <c r="AG63" i="9"/>
  <c r="AG60" i="9" s="1"/>
  <c r="AB286" i="8"/>
  <c r="Y63" i="9"/>
  <c r="Y60" i="9" s="1"/>
  <c r="T286" i="8"/>
  <c r="Q63" i="9"/>
  <c r="Q60" i="9" s="1"/>
  <c r="L286" i="8"/>
  <c r="AL63" i="9"/>
  <c r="AL60" i="9" s="1"/>
  <c r="AG286" i="8"/>
  <c r="AF63" i="9"/>
  <c r="AF60" i="9" s="1"/>
  <c r="AA286" i="8"/>
  <c r="X63" i="9"/>
  <c r="X60" i="9" s="1"/>
  <c r="S286" i="8"/>
  <c r="P63" i="9"/>
  <c r="P60" i="9" s="1"/>
  <c r="K286" i="8"/>
  <c r="AN63" i="9"/>
  <c r="AN60" i="9" s="1"/>
  <c r="AI286" i="8"/>
  <c r="AM63" i="9"/>
  <c r="AM60" i="9" s="1"/>
  <c r="AH286" i="8"/>
  <c r="AE63" i="9"/>
  <c r="AE60" i="9" s="1"/>
  <c r="Z286" i="8"/>
  <c r="W63" i="9"/>
  <c r="W60" i="9" s="1"/>
  <c r="R286" i="8"/>
  <c r="O63" i="9"/>
  <c r="O60" i="9" s="1"/>
  <c r="J286" i="8"/>
  <c r="N63" i="9"/>
  <c r="N60" i="9" s="1"/>
  <c r="I286" i="8"/>
  <c r="AK63" i="9"/>
  <c r="AK60" i="9" s="1"/>
  <c r="AF286" i="8"/>
  <c r="AC63" i="9"/>
  <c r="AC60" i="9" s="1"/>
  <c r="X286" i="8"/>
  <c r="U63" i="9"/>
  <c r="U60" i="9" s="1"/>
  <c r="P286" i="8"/>
  <c r="M63" i="9"/>
  <c r="M60" i="9" s="1"/>
  <c r="H286" i="8"/>
  <c r="V63" i="9"/>
  <c r="V60" i="9" s="1"/>
  <c r="Q286" i="8"/>
  <c r="AJ63" i="9"/>
  <c r="AJ60" i="9" s="1"/>
  <c r="AE286" i="8"/>
  <c r="AB63" i="9"/>
  <c r="AB60" i="9" s="1"/>
  <c r="W286" i="8"/>
  <c r="T63" i="9"/>
  <c r="T60" i="9" s="1"/>
  <c r="O286" i="8"/>
  <c r="L63" i="9"/>
  <c r="L60" i="9" s="1"/>
  <c r="G286" i="8"/>
  <c r="N285" i="8"/>
  <c r="AC285" i="8"/>
  <c r="U285" i="8"/>
  <c r="M285" i="8"/>
  <c r="AJ285" i="8"/>
  <c r="AB285" i="8"/>
  <c r="T285" i="8"/>
  <c r="L285" i="8"/>
  <c r="V285" i="8"/>
  <c r="AI285" i="8"/>
  <c r="AA285" i="8"/>
  <c r="S285" i="8"/>
  <c r="K285" i="8"/>
  <c r="AH285" i="8"/>
  <c r="Z285" i="8"/>
  <c r="R285" i="8"/>
  <c r="J285" i="8"/>
  <c r="AG285" i="8"/>
  <c r="Y285" i="8"/>
  <c r="Q285" i="8"/>
  <c r="I285" i="8"/>
  <c r="AF285" i="8"/>
  <c r="X285" i="8"/>
  <c r="P285" i="8"/>
  <c r="H285" i="8"/>
  <c r="AD285" i="8"/>
  <c r="AE285" i="8"/>
  <c r="W285" i="8"/>
  <c r="O285" i="8"/>
  <c r="G285" i="8"/>
  <c r="G287" i="8" l="1"/>
  <c r="L80" i="9" s="1"/>
  <c r="L77" i="9" s="1"/>
  <c r="L257" i="9" s="1"/>
  <c r="H287" i="8"/>
  <c r="Y287" i="8"/>
  <c r="AD80" i="9" s="1"/>
  <c r="AD77" i="9" s="1"/>
  <c r="AD257" i="9" s="1"/>
  <c r="AL253" i="9"/>
  <c r="AJ253" i="9"/>
  <c r="AE253" i="9"/>
  <c r="AG253" i="9"/>
  <c r="T253" i="9"/>
  <c r="V253" i="9"/>
  <c r="O253" i="9"/>
  <c r="AM253" i="9"/>
  <c r="X253" i="9"/>
  <c r="Q253" i="9"/>
  <c r="AH253" i="9"/>
  <c r="AA253" i="9"/>
  <c r="L253" i="9"/>
  <c r="Z253" i="9"/>
  <c r="P253" i="9"/>
  <c r="S253" i="9"/>
  <c r="AB253" i="9"/>
  <c r="M253" i="9"/>
  <c r="AK253" i="9"/>
  <c r="W253" i="9"/>
  <c r="AN253" i="9"/>
  <c r="AF253" i="9"/>
  <c r="Y253" i="9"/>
  <c r="R253" i="9"/>
  <c r="AI253" i="9"/>
  <c r="AD253" i="9"/>
  <c r="AI287" i="8"/>
  <c r="AN80" i="9" s="1"/>
  <c r="AN77" i="9" s="1"/>
  <c r="AN257" i="9" s="1"/>
  <c r="AF287" i="8"/>
  <c r="AK80" i="9" s="1"/>
  <c r="AK77" i="9" s="1"/>
  <c r="AK257" i="9" s="1"/>
  <c r="AJ287" i="8"/>
  <c r="AO80" i="9" s="1"/>
  <c r="AO77" i="9" s="1"/>
  <c r="J287" i="8"/>
  <c r="O80" i="9" s="1"/>
  <c r="O77" i="9" s="1"/>
  <c r="O257" i="9" s="1"/>
  <c r="Q287" i="8"/>
  <c r="V80" i="9" s="1"/>
  <c r="V77" i="9" s="1"/>
  <c r="V257" i="9" s="1"/>
  <c r="AH287" i="8"/>
  <c r="AM80" i="9" s="1"/>
  <c r="AM77" i="9" s="1"/>
  <c r="AM257" i="9" s="1"/>
  <c r="N253" i="9"/>
  <c r="I21" i="12"/>
  <c r="U253" i="9"/>
  <c r="K21" i="12"/>
  <c r="AC253" i="9"/>
  <c r="N21" i="12"/>
  <c r="AO253" i="9"/>
  <c r="F21" i="12"/>
  <c r="J63" i="9"/>
  <c r="K63" i="9"/>
  <c r="H21" i="12"/>
  <c r="M21" i="12"/>
  <c r="J21" i="12"/>
  <c r="G21" i="12"/>
  <c r="L21" i="12"/>
  <c r="K60" i="9"/>
  <c r="J60" i="9"/>
  <c r="AG287" i="8"/>
  <c r="AL80" i="9" s="1"/>
  <c r="Z287" i="8"/>
  <c r="AE80" i="9" s="1"/>
  <c r="R287" i="8"/>
  <c r="W80" i="9" s="1"/>
  <c r="W287" i="8"/>
  <c r="AB80" i="9" s="1"/>
  <c r="P287" i="8"/>
  <c r="U80" i="9" s="1"/>
  <c r="S287" i="8"/>
  <c r="X80" i="9" s="1"/>
  <c r="L287" i="8"/>
  <c r="Q80" i="9" s="1"/>
  <c r="M287" i="8"/>
  <c r="R80" i="9" s="1"/>
  <c r="AE287" i="8"/>
  <c r="AJ80" i="9" s="1"/>
  <c r="X287" i="8"/>
  <c r="AC80" i="9" s="1"/>
  <c r="AA287" i="8"/>
  <c r="AF80" i="9" s="1"/>
  <c r="T287" i="8"/>
  <c r="Y80" i="9" s="1"/>
  <c r="U287" i="8"/>
  <c r="Z80" i="9" s="1"/>
  <c r="AD287" i="8"/>
  <c r="AI80" i="9" s="1"/>
  <c r="AB287" i="8"/>
  <c r="AG80" i="9" s="1"/>
  <c r="AC287" i="8"/>
  <c r="AH80" i="9" s="1"/>
  <c r="O287" i="8"/>
  <c r="T80" i="9" s="1"/>
  <c r="M80" i="9"/>
  <c r="I287" i="8"/>
  <c r="N80" i="9" s="1"/>
  <c r="K287" i="8"/>
  <c r="P80" i="9" s="1"/>
  <c r="V287" i="8"/>
  <c r="AA80" i="9" s="1"/>
  <c r="N287" i="8"/>
  <c r="S80" i="9" s="1"/>
  <c r="AD93" i="9" l="1"/>
  <c r="AD95" i="9" s="1"/>
  <c r="AD120" i="9"/>
  <c r="AD121" i="9" s="1"/>
  <c r="AD122" i="9" s="1"/>
  <c r="I128" i="12"/>
  <c r="L128" i="12"/>
  <c r="L93" i="9"/>
  <c r="L95" i="9" s="1"/>
  <c r="L96" i="9" s="1"/>
  <c r="L91" i="9" s="1"/>
  <c r="G128" i="12"/>
  <c r="L120" i="9"/>
  <c r="L121" i="9" s="1"/>
  <c r="L122" i="9" s="1"/>
  <c r="K128" i="12"/>
  <c r="AK93" i="9"/>
  <c r="AK95" i="9" s="1"/>
  <c r="AK120" i="9"/>
  <c r="AK121" i="9" s="1"/>
  <c r="AK122" i="9" s="1"/>
  <c r="M128" i="12"/>
  <c r="AO120" i="9"/>
  <c r="AO121" i="9" s="1"/>
  <c r="AO122" i="9" s="1"/>
  <c r="J128" i="12"/>
  <c r="F128" i="12"/>
  <c r="V120" i="9"/>
  <c r="V121" i="9" s="1"/>
  <c r="V122" i="9" s="1"/>
  <c r="AN93" i="9"/>
  <c r="AN95" i="9" s="1"/>
  <c r="AN120" i="9"/>
  <c r="AN121" i="9" s="1"/>
  <c r="AN122" i="9" s="1"/>
  <c r="O93" i="9"/>
  <c r="O95" i="9" s="1"/>
  <c r="O120" i="9"/>
  <c r="O121" i="9" s="1"/>
  <c r="O122" i="9" s="1"/>
  <c r="AM120" i="9"/>
  <c r="AM121" i="9" s="1"/>
  <c r="AM122" i="9" s="1"/>
  <c r="AM93" i="9"/>
  <c r="AM95" i="9" s="1"/>
  <c r="V93" i="9"/>
  <c r="V95" i="9" s="1"/>
  <c r="H128" i="12"/>
  <c r="N128" i="12"/>
  <c r="K253" i="9"/>
  <c r="E128" i="12" s="1"/>
  <c r="J253" i="9"/>
  <c r="D128" i="12" s="1"/>
  <c r="N23" i="12"/>
  <c r="AO257" i="9"/>
  <c r="N132" i="12" s="1"/>
  <c r="D21" i="12"/>
  <c r="E21" i="12"/>
  <c r="S77" i="9"/>
  <c r="S120" i="9"/>
  <c r="S121" i="9" s="1"/>
  <c r="S122" i="9" s="1"/>
  <c r="M77" i="9"/>
  <c r="M120" i="9"/>
  <c r="M121" i="9" s="1"/>
  <c r="M122" i="9" s="1"/>
  <c r="X77" i="9"/>
  <c r="X120" i="9"/>
  <c r="X121" i="9" s="1"/>
  <c r="X122" i="9" s="1"/>
  <c r="T77" i="9"/>
  <c r="T120" i="9"/>
  <c r="T121" i="9" s="1"/>
  <c r="T122" i="9" s="1"/>
  <c r="U77" i="9"/>
  <c r="U120" i="9"/>
  <c r="U121" i="9" s="1"/>
  <c r="U122" i="9" s="1"/>
  <c r="AH77" i="9"/>
  <c r="AH120" i="9"/>
  <c r="AH121" i="9" s="1"/>
  <c r="AH122" i="9" s="1"/>
  <c r="W77" i="9"/>
  <c r="W120" i="9"/>
  <c r="W121" i="9" s="1"/>
  <c r="W122" i="9" s="1"/>
  <c r="Y77" i="9"/>
  <c r="Y120" i="9"/>
  <c r="Y121" i="9" s="1"/>
  <c r="Y122" i="9" s="1"/>
  <c r="AF77" i="9"/>
  <c r="AF120" i="9"/>
  <c r="AF121" i="9" s="1"/>
  <c r="AF122" i="9" s="1"/>
  <c r="AC77" i="9"/>
  <c r="AC120" i="9"/>
  <c r="AC121" i="9" s="1"/>
  <c r="AC122" i="9" s="1"/>
  <c r="AA77" i="9"/>
  <c r="AA120" i="9"/>
  <c r="AA121" i="9" s="1"/>
  <c r="AA122" i="9" s="1"/>
  <c r="AG77" i="9"/>
  <c r="AG120" i="9"/>
  <c r="AG121" i="9" s="1"/>
  <c r="AG122" i="9" s="1"/>
  <c r="AJ77" i="9"/>
  <c r="AJ120" i="9"/>
  <c r="AJ121" i="9" s="1"/>
  <c r="AJ122" i="9" s="1"/>
  <c r="P77" i="9"/>
  <c r="P120" i="9"/>
  <c r="P121" i="9" s="1"/>
  <c r="P122" i="9" s="1"/>
  <c r="AI77" i="9"/>
  <c r="AI120" i="9"/>
  <c r="AI121" i="9" s="1"/>
  <c r="AI122" i="9" s="1"/>
  <c r="R77" i="9"/>
  <c r="R120" i="9"/>
  <c r="R121" i="9" s="1"/>
  <c r="R122" i="9" s="1"/>
  <c r="AE77" i="9"/>
  <c r="AE120" i="9"/>
  <c r="AE121" i="9" s="1"/>
  <c r="AE122" i="9" s="1"/>
  <c r="AB77" i="9"/>
  <c r="AB120" i="9"/>
  <c r="AB121" i="9" s="1"/>
  <c r="AB122" i="9" s="1"/>
  <c r="N77" i="9"/>
  <c r="N120" i="9"/>
  <c r="N121" i="9" s="1"/>
  <c r="N122" i="9" s="1"/>
  <c r="Z77" i="9"/>
  <c r="Z120" i="9"/>
  <c r="Z121" i="9" s="1"/>
  <c r="Z122" i="9" s="1"/>
  <c r="Q77" i="9"/>
  <c r="Q120" i="9"/>
  <c r="Q121" i="9" s="1"/>
  <c r="Q122" i="9" s="1"/>
  <c r="AL77" i="9"/>
  <c r="AL120" i="9"/>
  <c r="AL121" i="9" s="1"/>
  <c r="AL122" i="9" s="1"/>
  <c r="AO93" i="9"/>
  <c r="AO95" i="9" s="1"/>
  <c r="L83" i="9" l="1"/>
  <c r="L126" i="9" s="1"/>
  <c r="L128" i="9" s="1"/>
  <c r="L152" i="9" s="1"/>
  <c r="U257" i="9"/>
  <c r="AJ257" i="9"/>
  <c r="W257" i="9"/>
  <c r="S257" i="9"/>
  <c r="Q257" i="9"/>
  <c r="AB257" i="9"/>
  <c r="AI257" i="9"/>
  <c r="AG257" i="9"/>
  <c r="AH257" i="9"/>
  <c r="X257" i="9"/>
  <c r="M257" i="9"/>
  <c r="F23" i="12"/>
  <c r="W93" i="9"/>
  <c r="W95" i="9" s="1"/>
  <c r="S93" i="9"/>
  <c r="S95" i="9" s="1"/>
  <c r="AJ93" i="9"/>
  <c r="AJ95" i="9" s="1"/>
  <c r="AA93" i="9"/>
  <c r="AA95" i="9" s="1"/>
  <c r="AA257" i="9"/>
  <c r="M23" i="12"/>
  <c r="AL257" i="9"/>
  <c r="M132" i="12" s="1"/>
  <c r="P93" i="9"/>
  <c r="P95" i="9" s="1"/>
  <c r="P257" i="9"/>
  <c r="AC93" i="9"/>
  <c r="AC95" i="9" s="1"/>
  <c r="AC257" i="9"/>
  <c r="N93" i="9"/>
  <c r="N95" i="9" s="1"/>
  <c r="N257" i="9"/>
  <c r="AE93" i="9"/>
  <c r="AE95" i="9" s="1"/>
  <c r="AE257" i="9"/>
  <c r="AF93" i="9"/>
  <c r="AF95" i="9" s="1"/>
  <c r="AF257" i="9"/>
  <c r="Z93" i="9"/>
  <c r="Z95" i="9" s="1"/>
  <c r="Z257" i="9"/>
  <c r="R93" i="9"/>
  <c r="R95" i="9" s="1"/>
  <c r="R257" i="9"/>
  <c r="Y93" i="9"/>
  <c r="Y95" i="9" s="1"/>
  <c r="Y257" i="9"/>
  <c r="T93" i="9"/>
  <c r="T95" i="9" s="1"/>
  <c r="T257" i="9"/>
  <c r="AL93" i="9"/>
  <c r="AL95" i="9" s="1"/>
  <c r="J77" i="9"/>
  <c r="H23" i="12"/>
  <c r="U93" i="9"/>
  <c r="U95" i="9" s="1"/>
  <c r="I23" i="12"/>
  <c r="AG93" i="9"/>
  <c r="AG95" i="9" s="1"/>
  <c r="L23" i="12"/>
  <c r="J23" i="12"/>
  <c r="K23" i="12"/>
  <c r="M93" i="9"/>
  <c r="M95" i="9" s="1"/>
  <c r="M96" i="9" s="1"/>
  <c r="M91" i="9" s="1"/>
  <c r="G23" i="12"/>
  <c r="AB93" i="9"/>
  <c r="AB95" i="9" s="1"/>
  <c r="Q93" i="9"/>
  <c r="Q95" i="9" s="1"/>
  <c r="X93" i="9"/>
  <c r="X95" i="9" s="1"/>
  <c r="AI93" i="9"/>
  <c r="AI95" i="9" s="1"/>
  <c r="AH93" i="9"/>
  <c r="AH95" i="9" s="1"/>
  <c r="K77" i="9"/>
  <c r="M90" i="9"/>
  <c r="M88" i="9"/>
  <c r="L256" i="9" l="1"/>
  <c r="L132" i="12"/>
  <c r="I132" i="12"/>
  <c r="F132" i="12"/>
  <c r="J132" i="12"/>
  <c r="G132" i="12"/>
  <c r="H132" i="12"/>
  <c r="K132" i="12"/>
  <c r="L153" i="9"/>
  <c r="L306" i="9"/>
  <c r="N96" i="9"/>
  <c r="O96" i="9" s="1"/>
  <c r="J257" i="9"/>
  <c r="D132" i="12" s="1"/>
  <c r="L258" i="9"/>
  <c r="L260" i="9" s="1"/>
  <c r="K257" i="9"/>
  <c r="E132" i="12" s="1"/>
  <c r="D23" i="12"/>
  <c r="E23" i="12"/>
  <c r="M83" i="9"/>
  <c r="M126" i="9" s="1"/>
  <c r="N90" i="9"/>
  <c r="N88" i="9"/>
  <c r="L300" i="9" l="1"/>
  <c r="L301" i="9" s="1"/>
  <c r="M299" i="9" s="1"/>
  <c r="N91" i="9"/>
  <c r="N83" i="9" s="1"/>
  <c r="N126" i="9" s="1"/>
  <c r="M151" i="9"/>
  <c r="M304" i="9" s="1"/>
  <c r="L308" i="9"/>
  <c r="M128" i="9"/>
  <c r="M256" i="9"/>
  <c r="O90" i="9"/>
  <c r="O91" i="9"/>
  <c r="P96" i="9"/>
  <c r="O88" i="9"/>
  <c r="L307" i="9" l="1"/>
  <c r="M305" i="9"/>
  <c r="L309" i="9"/>
  <c r="M152" i="9"/>
  <c r="N256" i="9"/>
  <c r="N258" i="9" s="1"/>
  <c r="N260" i="9" s="1"/>
  <c r="N300" i="9" s="1"/>
  <c r="N128" i="9"/>
  <c r="N152" i="9" s="1"/>
  <c r="N306" i="9" s="1"/>
  <c r="M258" i="9"/>
  <c r="M260" i="9" s="1"/>
  <c r="O83" i="9"/>
  <c r="P90" i="9"/>
  <c r="P91" i="9"/>
  <c r="Q96" i="9"/>
  <c r="P88" i="9"/>
  <c r="F25" i="12" l="1"/>
  <c r="F29" i="12" s="1"/>
  <c r="F31" i="12" s="1"/>
  <c r="O126" i="9"/>
  <c r="O128" i="9" s="1"/>
  <c r="O152" i="9" s="1"/>
  <c r="O306" i="9" s="1"/>
  <c r="N307" i="9"/>
  <c r="M300" i="9"/>
  <c r="M301" i="9" s="1"/>
  <c r="N299" i="9" s="1"/>
  <c r="N301" i="9" s="1"/>
  <c r="O299" i="9" s="1"/>
  <c r="M153" i="9"/>
  <c r="M306" i="9"/>
  <c r="O256" i="9"/>
  <c r="F131" i="12" s="1"/>
  <c r="F133" i="12" s="1"/>
  <c r="F135" i="12" s="1"/>
  <c r="P83" i="9"/>
  <c r="Q90" i="9"/>
  <c r="Q91" i="9"/>
  <c r="R96" i="9"/>
  <c r="Q88" i="9"/>
  <c r="F84" i="11" l="1"/>
  <c r="P256" i="9"/>
  <c r="P258" i="9" s="1"/>
  <c r="P260" i="9" s="1"/>
  <c r="P300" i="9" s="1"/>
  <c r="P126" i="9"/>
  <c r="P128" i="9" s="1"/>
  <c r="P152" i="9" s="1"/>
  <c r="P306" i="9" s="1"/>
  <c r="F175" i="12"/>
  <c r="F176" i="12" s="1"/>
  <c r="G174" i="12" s="1"/>
  <c r="F101" i="11"/>
  <c r="F104" i="11" s="1"/>
  <c r="F55" i="12"/>
  <c r="F56" i="12" s="1"/>
  <c r="G54" i="12" s="1"/>
  <c r="F35" i="11"/>
  <c r="M307" i="9"/>
  <c r="M308" i="9"/>
  <c r="M309" i="9" s="1"/>
  <c r="N151" i="9"/>
  <c r="O258" i="9"/>
  <c r="O260" i="9" s="1"/>
  <c r="O300" i="9" s="1"/>
  <c r="O301" i="9" s="1"/>
  <c r="P299" i="9" s="1"/>
  <c r="Q83" i="9"/>
  <c r="R90" i="9"/>
  <c r="R91" i="9"/>
  <c r="S96" i="9"/>
  <c r="R88" i="9"/>
  <c r="P301" i="9" l="1"/>
  <c r="Q299" i="9" s="1"/>
  <c r="P307" i="9"/>
  <c r="Q256" i="9"/>
  <c r="Q258" i="9" s="1"/>
  <c r="Q260" i="9" s="1"/>
  <c r="Q300" i="9" s="1"/>
  <c r="Q126" i="9"/>
  <c r="Q128" i="9" s="1"/>
  <c r="Q152" i="9" s="1"/>
  <c r="Q306" i="9" s="1"/>
  <c r="F43" i="11"/>
  <c r="F38" i="11"/>
  <c r="O307" i="9"/>
  <c r="N153" i="9"/>
  <c r="N304" i="9"/>
  <c r="N305" i="9" s="1"/>
  <c r="R83" i="9"/>
  <c r="S90" i="9"/>
  <c r="S91" i="9"/>
  <c r="T96" i="9"/>
  <c r="S88" i="9"/>
  <c r="Q301" i="9" l="1"/>
  <c r="R299" i="9" s="1"/>
  <c r="R256" i="9"/>
  <c r="R258" i="9" s="1"/>
  <c r="R260" i="9" s="1"/>
  <c r="R300" i="9" s="1"/>
  <c r="R126" i="9"/>
  <c r="R128" i="9" s="1"/>
  <c r="R152" i="9" s="1"/>
  <c r="R306" i="9" s="1"/>
  <c r="Q307" i="9"/>
  <c r="F44" i="11"/>
  <c r="F49" i="11"/>
  <c r="F45" i="11"/>
  <c r="F46" i="11" s="1"/>
  <c r="N308" i="9"/>
  <c r="N309" i="9" s="1"/>
  <c r="O151" i="9"/>
  <c r="S83" i="9"/>
  <c r="S126" i="9" s="1"/>
  <c r="T90" i="9"/>
  <c r="T91" i="9"/>
  <c r="U96" i="9"/>
  <c r="T88" i="9"/>
  <c r="R301" i="9" l="1"/>
  <c r="S299" i="9" s="1"/>
  <c r="R307" i="9"/>
  <c r="C53" i="11"/>
  <c r="C54" i="11" s="1"/>
  <c r="F47" i="11"/>
  <c r="F48" i="11" s="1"/>
  <c r="O153" i="9"/>
  <c r="O304" i="9"/>
  <c r="O305" i="9" s="1"/>
  <c r="S128" i="9"/>
  <c r="S152" i="9" s="1"/>
  <c r="S306" i="9" s="1"/>
  <c r="S256" i="9"/>
  <c r="T83" i="9"/>
  <c r="U90" i="9"/>
  <c r="U91" i="9"/>
  <c r="V96" i="9"/>
  <c r="U88" i="9"/>
  <c r="T256" i="9" l="1"/>
  <c r="T258" i="9" s="1"/>
  <c r="T260" i="9" s="1"/>
  <c r="T300" i="9" s="1"/>
  <c r="T126" i="9"/>
  <c r="T128" i="9" s="1"/>
  <c r="T152" i="9" s="1"/>
  <c r="T306" i="9" s="1"/>
  <c r="S258" i="9"/>
  <c r="S260" i="9" s="1"/>
  <c r="S300" i="9" s="1"/>
  <c r="S301" i="9" s="1"/>
  <c r="T299" i="9" s="1"/>
  <c r="G131" i="12"/>
  <c r="G133" i="12" s="1"/>
  <c r="G135" i="12" s="1"/>
  <c r="O308" i="9"/>
  <c r="O309" i="9" s="1"/>
  <c r="P151" i="9"/>
  <c r="U83" i="9"/>
  <c r="U126" i="9" s="1"/>
  <c r="V90" i="9"/>
  <c r="V91" i="9"/>
  <c r="W96" i="9"/>
  <c r="V88" i="9"/>
  <c r="T301" i="9" l="1"/>
  <c r="U299" i="9" s="1"/>
  <c r="T307" i="9"/>
  <c r="S307" i="9"/>
  <c r="G175" i="12"/>
  <c r="G176" i="12" s="1"/>
  <c r="H174" i="12" s="1"/>
  <c r="G101" i="11"/>
  <c r="G104" i="11" s="1"/>
  <c r="P153" i="9"/>
  <c r="P304" i="9"/>
  <c r="P305" i="9" s="1"/>
  <c r="U256" i="9"/>
  <c r="U128" i="9"/>
  <c r="U152" i="9" s="1"/>
  <c r="U306" i="9" s="1"/>
  <c r="V83" i="9"/>
  <c r="V126" i="9" s="1"/>
  <c r="W90" i="9"/>
  <c r="W91" i="9"/>
  <c r="X96" i="9"/>
  <c r="W88" i="9"/>
  <c r="U258" i="9" l="1"/>
  <c r="U260" i="9" s="1"/>
  <c r="U300" i="9" s="1"/>
  <c r="U301" i="9" s="1"/>
  <c r="V299" i="9" s="1"/>
  <c r="P308" i="9"/>
  <c r="P309" i="9" s="1"/>
  <c r="Q151" i="9"/>
  <c r="V128" i="9"/>
  <c r="V152" i="9" s="1"/>
  <c r="V306" i="9" s="1"/>
  <c r="V256" i="9"/>
  <c r="V258" i="9" s="1"/>
  <c r="V260" i="9" s="1"/>
  <c r="V300" i="9" s="1"/>
  <c r="W83" i="9"/>
  <c r="X90" i="9"/>
  <c r="X91" i="9"/>
  <c r="X88" i="9"/>
  <c r="Y96" i="9"/>
  <c r="H25" i="12" l="1"/>
  <c r="H29" i="12" s="1"/>
  <c r="H31" i="12" s="1"/>
  <c r="W126" i="9"/>
  <c r="W128" i="9" s="1"/>
  <c r="W152" i="9" s="1"/>
  <c r="W306" i="9" s="1"/>
  <c r="U307" i="9"/>
  <c r="V301" i="9"/>
  <c r="W299" i="9" s="1"/>
  <c r="V307" i="9"/>
  <c r="Q304" i="9"/>
  <c r="Q305" i="9" s="1"/>
  <c r="Q153" i="9"/>
  <c r="W256" i="9"/>
  <c r="X83" i="9"/>
  <c r="X126" i="9" s="1"/>
  <c r="Y90" i="9"/>
  <c r="Y91" i="9"/>
  <c r="Z96" i="9"/>
  <c r="Y88" i="9"/>
  <c r="H84" i="11" l="1"/>
  <c r="H55" i="12"/>
  <c r="H35" i="11"/>
  <c r="H38" i="11" s="1"/>
  <c r="W258" i="9"/>
  <c r="W260" i="9" s="1"/>
  <c r="W300" i="9" s="1"/>
  <c r="W301" i="9" s="1"/>
  <c r="X299" i="9" s="1"/>
  <c r="R151" i="9"/>
  <c r="Q308" i="9"/>
  <c r="Q309" i="9" s="1"/>
  <c r="X128" i="9"/>
  <c r="X152" i="9" s="1"/>
  <c r="X306" i="9" s="1"/>
  <c r="X256" i="9"/>
  <c r="X258" i="9" s="1"/>
  <c r="X260" i="9" s="1"/>
  <c r="X300" i="9" s="1"/>
  <c r="Y83" i="9"/>
  <c r="Y126" i="9" s="1"/>
  <c r="Z90" i="9"/>
  <c r="Z91" i="9"/>
  <c r="AA96" i="9"/>
  <c r="Z88" i="9"/>
  <c r="H43" i="11" l="1"/>
  <c r="X301" i="9"/>
  <c r="Y299" i="9" s="1"/>
  <c r="W307" i="9"/>
  <c r="X307" i="9"/>
  <c r="Y256" i="9"/>
  <c r="R153" i="9"/>
  <c r="R304" i="9"/>
  <c r="R305" i="9" s="1"/>
  <c r="Y128" i="9"/>
  <c r="Z83" i="9"/>
  <c r="Z126" i="9" s="1"/>
  <c r="AA90" i="9"/>
  <c r="AA91" i="9"/>
  <c r="AB96" i="9"/>
  <c r="AA88" i="9"/>
  <c r="H49" i="11" l="1"/>
  <c r="H44" i="11"/>
  <c r="E53" i="11" s="1"/>
  <c r="Y258" i="9"/>
  <c r="Y260" i="9" s="1"/>
  <c r="Y300" i="9" s="1"/>
  <c r="Y301" i="9" s="1"/>
  <c r="Z299" i="9" s="1"/>
  <c r="Y152" i="9"/>
  <c r="Y306" i="9" s="1"/>
  <c r="R308" i="9"/>
  <c r="R309" i="9" s="1"/>
  <c r="S151" i="9"/>
  <c r="Z128" i="9"/>
  <c r="Z256" i="9"/>
  <c r="AA83" i="9"/>
  <c r="AB90" i="9"/>
  <c r="AB91" i="9"/>
  <c r="AC96" i="9"/>
  <c r="AB88" i="9"/>
  <c r="I25" i="12" l="1"/>
  <c r="I29" i="12" s="1"/>
  <c r="I31" i="12" s="1"/>
  <c r="AA126" i="9"/>
  <c r="AA128" i="9" s="1"/>
  <c r="Z258" i="9"/>
  <c r="Z260" i="9" s="1"/>
  <c r="Z300" i="9" s="1"/>
  <c r="Z301" i="9" s="1"/>
  <c r="AA299" i="9" s="1"/>
  <c r="Y307" i="9"/>
  <c r="Z152" i="9"/>
  <c r="Z306" i="9" s="1"/>
  <c r="S153" i="9"/>
  <c r="S304" i="9"/>
  <c r="S305" i="9" s="1"/>
  <c r="AA256" i="9"/>
  <c r="I131" i="12" s="1"/>
  <c r="I133" i="12" s="1"/>
  <c r="I135" i="12" s="1"/>
  <c r="AB83" i="9"/>
  <c r="AB126" i="9" s="1"/>
  <c r="AC90" i="9"/>
  <c r="AC91" i="9"/>
  <c r="AD96" i="9"/>
  <c r="AC88" i="9"/>
  <c r="I84" i="11" l="1"/>
  <c r="I101" i="11"/>
  <c r="I104" i="11" s="1"/>
  <c r="I175" i="12"/>
  <c r="Z307" i="9"/>
  <c r="I55" i="12"/>
  <c r="I35" i="11"/>
  <c r="AA258" i="9"/>
  <c r="AA260" i="9" s="1"/>
  <c r="AA300" i="9" s="1"/>
  <c r="AA301" i="9" s="1"/>
  <c r="AB299" i="9" s="1"/>
  <c r="S308" i="9"/>
  <c r="S309" i="9" s="1"/>
  <c r="T151" i="9"/>
  <c r="AA152" i="9"/>
  <c r="AA306" i="9" s="1"/>
  <c r="AB128" i="9"/>
  <c r="AB152" i="9" s="1"/>
  <c r="AB306" i="9" s="1"/>
  <c r="AB256" i="9"/>
  <c r="AB258" i="9" s="1"/>
  <c r="AB260" i="9" s="1"/>
  <c r="AB300" i="9" s="1"/>
  <c r="AC83" i="9"/>
  <c r="AC126" i="9" s="1"/>
  <c r="AD90" i="9"/>
  <c r="AD91" i="9"/>
  <c r="AE96" i="9"/>
  <c r="AD88" i="9"/>
  <c r="I38" i="11" l="1"/>
  <c r="I43" i="11"/>
  <c r="AB301" i="9"/>
  <c r="AC299" i="9" s="1"/>
  <c r="AA307" i="9"/>
  <c r="AB307" i="9"/>
  <c r="AC256" i="9"/>
  <c r="T153" i="9"/>
  <c r="T304" i="9"/>
  <c r="T305" i="9" s="1"/>
  <c r="AD83" i="9"/>
  <c r="AD126" i="9" s="1"/>
  <c r="AC128" i="9"/>
  <c r="AE90" i="9"/>
  <c r="AE91" i="9"/>
  <c r="AF96" i="9"/>
  <c r="AE88" i="9"/>
  <c r="I49" i="11" l="1"/>
  <c r="I44" i="11"/>
  <c r="F53" i="11" s="1"/>
  <c r="AC258" i="9"/>
  <c r="AC260" i="9" s="1"/>
  <c r="AC300" i="9" s="1"/>
  <c r="AC301" i="9" s="1"/>
  <c r="AD299" i="9" s="1"/>
  <c r="T308" i="9"/>
  <c r="T309" i="9" s="1"/>
  <c r="U151" i="9"/>
  <c r="AC152" i="9"/>
  <c r="AC306" i="9" s="1"/>
  <c r="AE83" i="9"/>
  <c r="AD128" i="9"/>
  <c r="AD256" i="9"/>
  <c r="AF90" i="9"/>
  <c r="AF91" i="9"/>
  <c r="AG96" i="9"/>
  <c r="AF88" i="9"/>
  <c r="AE126" i="9" l="1"/>
  <c r="AE128" i="9" s="1"/>
  <c r="AE152" i="9" s="1"/>
  <c r="AE306" i="9" s="1"/>
  <c r="J25" i="12"/>
  <c r="J29" i="12" s="1"/>
  <c r="AD258" i="9"/>
  <c r="AD260" i="9" s="1"/>
  <c r="AD300" i="9" s="1"/>
  <c r="AD301" i="9" s="1"/>
  <c r="AE299" i="9" s="1"/>
  <c r="AC307" i="9"/>
  <c r="U153" i="9"/>
  <c r="U304" i="9"/>
  <c r="U305" i="9" s="1"/>
  <c r="AD152" i="9"/>
  <c r="AD306" i="9" s="1"/>
  <c r="AE256" i="9"/>
  <c r="J131" i="12" s="1"/>
  <c r="J133" i="12" s="1"/>
  <c r="J135" i="12" s="1"/>
  <c r="AF83" i="9"/>
  <c r="AG90" i="9"/>
  <c r="AG91" i="9"/>
  <c r="AH96" i="9"/>
  <c r="AG88" i="9"/>
  <c r="AD307" i="9" l="1"/>
  <c r="AF256" i="9"/>
  <c r="AF258" i="9" s="1"/>
  <c r="AF260" i="9" s="1"/>
  <c r="AF300" i="9" s="1"/>
  <c r="AF126" i="9"/>
  <c r="AF128" i="9" s="1"/>
  <c r="J175" i="12"/>
  <c r="J101" i="11"/>
  <c r="J104" i="11" s="1"/>
  <c r="J31" i="12"/>
  <c r="J84" i="11"/>
  <c r="AE258" i="9"/>
  <c r="AE260" i="9" s="1"/>
  <c r="AE300" i="9" s="1"/>
  <c r="AE301" i="9" s="1"/>
  <c r="AF299" i="9" s="1"/>
  <c r="U308" i="9"/>
  <c r="U309" i="9" s="1"/>
  <c r="V151" i="9"/>
  <c r="AG83" i="9"/>
  <c r="AG126" i="9" s="1"/>
  <c r="AH90" i="9"/>
  <c r="AH91" i="9"/>
  <c r="AI96" i="9"/>
  <c r="AH88" i="9"/>
  <c r="AF301" i="9" l="1"/>
  <c r="AG299" i="9" s="1"/>
  <c r="J55" i="12"/>
  <c r="J35" i="11"/>
  <c r="AE307" i="9"/>
  <c r="AG256" i="9"/>
  <c r="AF152" i="9"/>
  <c r="AF306" i="9" s="1"/>
  <c r="AF307" i="9" s="1"/>
  <c r="V153" i="9"/>
  <c r="V304" i="9"/>
  <c r="V305" i="9" s="1"/>
  <c r="AH83" i="9"/>
  <c r="AH126" i="9" s="1"/>
  <c r="AG128" i="9"/>
  <c r="AI90" i="9"/>
  <c r="AI91" i="9"/>
  <c r="AJ96" i="9"/>
  <c r="AI88" i="9"/>
  <c r="J38" i="11" l="1"/>
  <c r="J43" i="11"/>
  <c r="AG258" i="9"/>
  <c r="AG260" i="9" s="1"/>
  <c r="AG300" i="9" s="1"/>
  <c r="AG301" i="9" s="1"/>
  <c r="AH299" i="9" s="1"/>
  <c r="AG152" i="9"/>
  <c r="AG306" i="9" s="1"/>
  <c r="V308" i="9"/>
  <c r="V309" i="9" s="1"/>
  <c r="W151" i="9"/>
  <c r="AH128" i="9"/>
  <c r="AH256" i="9"/>
  <c r="AH258" i="9" s="1"/>
  <c r="AH260" i="9" s="1"/>
  <c r="AH300" i="9" s="1"/>
  <c r="AI83" i="9"/>
  <c r="AJ90" i="9"/>
  <c r="AJ91" i="9"/>
  <c r="AK96" i="9"/>
  <c r="AJ88" i="9"/>
  <c r="K25" i="12" l="1"/>
  <c r="K29" i="12" s="1"/>
  <c r="K31" i="12" s="1"/>
  <c r="AI126" i="9"/>
  <c r="AI128" i="9" s="1"/>
  <c r="J49" i="11"/>
  <c r="J44" i="11"/>
  <c r="G53" i="11" s="1"/>
  <c r="AG307" i="9"/>
  <c r="AH301" i="9"/>
  <c r="AI299" i="9" s="1"/>
  <c r="AH152" i="9"/>
  <c r="AH306" i="9" s="1"/>
  <c r="AH307" i="9" s="1"/>
  <c r="W153" i="9"/>
  <c r="W304" i="9"/>
  <c r="W305" i="9" s="1"/>
  <c r="AI256" i="9"/>
  <c r="K131" i="12" s="1"/>
  <c r="K133" i="12" s="1"/>
  <c r="K135" i="12" s="1"/>
  <c r="AJ83" i="9"/>
  <c r="AK90" i="9"/>
  <c r="AK91" i="9"/>
  <c r="AL96" i="9"/>
  <c r="AK88" i="9"/>
  <c r="K84" i="11" l="1"/>
  <c r="AJ126" i="9"/>
  <c r="AJ128" i="9" s="1"/>
  <c r="AJ152" i="9" s="1"/>
  <c r="AJ306" i="9" s="1"/>
  <c r="K175" i="12"/>
  <c r="K101" i="11"/>
  <c r="K104" i="11" s="1"/>
  <c r="K35" i="11"/>
  <c r="K55" i="12"/>
  <c r="AI258" i="9"/>
  <c r="AI260" i="9" s="1"/>
  <c r="AI300" i="9" s="1"/>
  <c r="AI301" i="9" s="1"/>
  <c r="AJ299" i="9" s="1"/>
  <c r="AJ256" i="9"/>
  <c r="AJ258" i="9" s="1"/>
  <c r="AJ260" i="9" s="1"/>
  <c r="AJ300" i="9" s="1"/>
  <c r="AI152" i="9"/>
  <c r="AI306" i="9" s="1"/>
  <c r="W308" i="9"/>
  <c r="W309" i="9" s="1"/>
  <c r="X151" i="9"/>
  <c r="AK83" i="9"/>
  <c r="AK126" i="9" s="1"/>
  <c r="AL90" i="9"/>
  <c r="AL91" i="9"/>
  <c r="AM96" i="9"/>
  <c r="AL88" i="9"/>
  <c r="K43" i="11" l="1"/>
  <c r="K38" i="11"/>
  <c r="AI307" i="9"/>
  <c r="AJ301" i="9"/>
  <c r="AK299" i="9" s="1"/>
  <c r="AJ307" i="9"/>
  <c r="X153" i="9"/>
  <c r="X304" i="9"/>
  <c r="X305" i="9" s="1"/>
  <c r="AK256" i="9"/>
  <c r="AK128" i="9"/>
  <c r="AL83" i="9"/>
  <c r="AL126" i="9" s="1"/>
  <c r="AM90" i="9"/>
  <c r="AM91" i="9"/>
  <c r="AN96" i="9"/>
  <c r="AM88" i="9"/>
  <c r="K49" i="11" l="1"/>
  <c r="K44" i="11"/>
  <c r="H53" i="11" s="1"/>
  <c r="AK258" i="9"/>
  <c r="AK260" i="9" s="1"/>
  <c r="AK300" i="9" s="1"/>
  <c r="AK301" i="9" s="1"/>
  <c r="AL299" i="9" s="1"/>
  <c r="AK152" i="9"/>
  <c r="AK306" i="9" s="1"/>
  <c r="X308" i="9"/>
  <c r="X309" i="9" s="1"/>
  <c r="Y151" i="9"/>
  <c r="Y304" i="9" s="1"/>
  <c r="AL128" i="9"/>
  <c r="AL256" i="9"/>
  <c r="AL258" i="9" s="1"/>
  <c r="AL260" i="9" s="1"/>
  <c r="AL300" i="9" s="1"/>
  <c r="AM83" i="9"/>
  <c r="AN90" i="9"/>
  <c r="AN91" i="9"/>
  <c r="AO96" i="9"/>
  <c r="AO91" i="9" s="1"/>
  <c r="AN88" i="9"/>
  <c r="L25" i="12" l="1"/>
  <c r="L29" i="12" s="1"/>
  <c r="L31" i="12" s="1"/>
  <c r="AM126" i="9"/>
  <c r="AM128" i="9" s="1"/>
  <c r="AK307" i="9"/>
  <c r="AL301" i="9"/>
  <c r="AM299" i="9" s="1"/>
  <c r="Y305" i="9"/>
  <c r="Y303" i="9"/>
  <c r="AL152" i="9"/>
  <c r="AL306" i="9" s="1"/>
  <c r="AL307" i="9" s="1"/>
  <c r="Y153" i="9"/>
  <c r="AM256" i="9"/>
  <c r="L131" i="12" s="1"/>
  <c r="L133" i="12" s="1"/>
  <c r="L135" i="12" s="1"/>
  <c r="AN83" i="9"/>
  <c r="AO88" i="9"/>
  <c r="AO90" i="9"/>
  <c r="L84" i="11" l="1"/>
  <c r="AN256" i="9"/>
  <c r="AN258" i="9" s="1"/>
  <c r="AN260" i="9" s="1"/>
  <c r="AN300" i="9" s="1"/>
  <c r="AN126" i="9"/>
  <c r="AN128" i="9" s="1"/>
  <c r="L175" i="12"/>
  <c r="L101" i="11"/>
  <c r="L104" i="11" s="1"/>
  <c r="L35" i="11"/>
  <c r="L55" i="12"/>
  <c r="AM258" i="9"/>
  <c r="AM260" i="9" s="1"/>
  <c r="AM300" i="9" s="1"/>
  <c r="AM301" i="9" s="1"/>
  <c r="AN299" i="9" s="1"/>
  <c r="AM152" i="9"/>
  <c r="AM306" i="9" s="1"/>
  <c r="Y308" i="9"/>
  <c r="Y309" i="9" s="1"/>
  <c r="Z151" i="9"/>
  <c r="AO83" i="9"/>
  <c r="M25" i="12" s="1"/>
  <c r="M29" i="12" s="1"/>
  <c r="AN301" i="9" l="1"/>
  <c r="AO299" i="9" s="1"/>
  <c r="L43" i="11"/>
  <c r="L38" i="11"/>
  <c r="AM307" i="9"/>
  <c r="M31" i="12"/>
  <c r="M84" i="11"/>
  <c r="AN152" i="9"/>
  <c r="AN306" i="9" s="1"/>
  <c r="AN307" i="9" s="1"/>
  <c r="Z153" i="9"/>
  <c r="Z304" i="9"/>
  <c r="Z305" i="9" s="1"/>
  <c r="AO256" i="9"/>
  <c r="M131" i="12" s="1"/>
  <c r="M133" i="12" s="1"/>
  <c r="M135" i="12" s="1"/>
  <c r="M175" i="12" s="1"/>
  <c r="K256" i="9"/>
  <c r="N25" i="12"/>
  <c r="G25" i="12"/>
  <c r="G29" i="12" s="1"/>
  <c r="AO126" i="9"/>
  <c r="AO128" i="9" s="1"/>
  <c r="AO152" i="9" s="1"/>
  <c r="AO306" i="9" s="1"/>
  <c r="K83" i="9"/>
  <c r="J83" i="9"/>
  <c r="M101" i="11" l="1"/>
  <c r="M104" i="11" s="1"/>
  <c r="L49" i="11"/>
  <c r="L44" i="11"/>
  <c r="I53" i="11" s="1"/>
  <c r="M35" i="11"/>
  <c r="M38" i="11" s="1"/>
  <c r="M55" i="12"/>
  <c r="G31" i="12"/>
  <c r="G84" i="11"/>
  <c r="N29" i="12"/>
  <c r="N31" i="12" s="1"/>
  <c r="N84" i="11"/>
  <c r="K258" i="9"/>
  <c r="K260" i="9" s="1"/>
  <c r="K300" i="9" s="1"/>
  <c r="E131" i="12"/>
  <c r="E133" i="12" s="1"/>
  <c r="E135" i="12" s="1"/>
  <c r="AO258" i="9"/>
  <c r="AO260" i="9" s="1"/>
  <c r="AO300" i="9" s="1"/>
  <c r="AO301" i="9" s="1"/>
  <c r="N131" i="12"/>
  <c r="N133" i="12" s="1"/>
  <c r="N135" i="12" s="1"/>
  <c r="H131" i="12"/>
  <c r="H133" i="12" s="1"/>
  <c r="H135" i="12" s="1"/>
  <c r="J256" i="9"/>
  <c r="Z308" i="9"/>
  <c r="Z309" i="9" s="1"/>
  <c r="AA151" i="9"/>
  <c r="E25" i="12"/>
  <c r="K126" i="9"/>
  <c r="K128" i="9" s="1"/>
  <c r="J152" i="9"/>
  <c r="J306" i="9" s="1"/>
  <c r="K152" i="9"/>
  <c r="K306" i="9" s="1"/>
  <c r="D25" i="12"/>
  <c r="J126" i="9"/>
  <c r="J128" i="9" s="1"/>
  <c r="E29" i="12" l="1"/>
  <c r="E31" i="12" s="1"/>
  <c r="E35" i="11" s="1"/>
  <c r="E38" i="11" s="1"/>
  <c r="D29" i="12"/>
  <c r="D31" i="12" s="1"/>
  <c r="D35" i="11" s="1"/>
  <c r="D38" i="11" s="1"/>
  <c r="M43" i="11"/>
  <c r="M49" i="11" s="1"/>
  <c r="N35" i="11"/>
  <c r="N43" i="11" s="1"/>
  <c r="N55" i="12"/>
  <c r="G35" i="11"/>
  <c r="G43" i="11" s="1"/>
  <c r="AO307" i="9"/>
  <c r="H175" i="12"/>
  <c r="H176" i="12" s="1"/>
  <c r="I174" i="12" s="1"/>
  <c r="I176" i="12" s="1"/>
  <c r="J174" i="12" s="1"/>
  <c r="J176" i="12" s="1"/>
  <c r="K174" i="12" s="1"/>
  <c r="K176" i="12" s="1"/>
  <c r="H101" i="11"/>
  <c r="N175" i="12"/>
  <c r="N101" i="11"/>
  <c r="N104" i="11" s="1"/>
  <c r="E84" i="11"/>
  <c r="D84" i="11"/>
  <c r="K307" i="9"/>
  <c r="J258" i="9"/>
  <c r="J260" i="9" s="1"/>
  <c r="J300" i="9" s="1"/>
  <c r="D131" i="12"/>
  <c r="D133" i="12" s="1"/>
  <c r="D135" i="12" s="1"/>
  <c r="K301" i="9"/>
  <c r="J311" i="9" s="1"/>
  <c r="G32" i="13" s="1"/>
  <c r="E175" i="12"/>
  <c r="E176" i="12" s="1"/>
  <c r="AA153" i="9"/>
  <c r="AA304" i="9"/>
  <c r="AA305" i="9" s="1"/>
  <c r="E55" i="12"/>
  <c r="E56" i="12" s="1"/>
  <c r="K153" i="9"/>
  <c r="D55" i="12"/>
  <c r="D56" i="12" s="1"/>
  <c r="J153" i="9"/>
  <c r="L174" i="12" l="1"/>
  <c r="L176" i="12" s="1"/>
  <c r="M174" i="12" s="1"/>
  <c r="M176" i="12" s="1"/>
  <c r="N174" i="12" s="1"/>
  <c r="N176" i="12" s="1"/>
  <c r="M44" i="11"/>
  <c r="J53" i="11" s="1"/>
  <c r="N38" i="11"/>
  <c r="G55" i="12"/>
  <c r="G56" i="12" s="1"/>
  <c r="H54" i="12" s="1"/>
  <c r="H56" i="12" s="1"/>
  <c r="I54" i="12" s="1"/>
  <c r="I56" i="12" s="1"/>
  <c r="J54" i="12" s="1"/>
  <c r="J56" i="12" s="1"/>
  <c r="K54" i="12" s="1"/>
  <c r="K56" i="12" s="1"/>
  <c r="L54" i="12" s="1"/>
  <c r="L56" i="12" s="1"/>
  <c r="M54" i="12" s="1"/>
  <c r="M56" i="12" s="1"/>
  <c r="N54" i="12" s="1"/>
  <c r="N56" i="12" s="1"/>
  <c r="K308" i="9"/>
  <c r="K309" i="9" s="1"/>
  <c r="J308" i="9"/>
  <c r="G38" i="11"/>
  <c r="H104" i="11"/>
  <c r="E101" i="11"/>
  <c r="D101" i="11"/>
  <c r="G45" i="11"/>
  <c r="G46" i="11" s="1"/>
  <c r="G44" i="11"/>
  <c r="D53" i="11" s="1"/>
  <c r="D54" i="11" s="1"/>
  <c r="E54" i="11" s="1"/>
  <c r="F54" i="11" s="1"/>
  <c r="G54" i="11" s="1"/>
  <c r="H54" i="11" s="1"/>
  <c r="I54" i="11" s="1"/>
  <c r="G49" i="11"/>
  <c r="N45" i="11"/>
  <c r="N49" i="11"/>
  <c r="N44" i="11"/>
  <c r="K53" i="11" s="1"/>
  <c r="N47" i="11"/>
  <c r="E43" i="11"/>
  <c r="D43" i="11"/>
  <c r="J301" i="9"/>
  <c r="D175" i="12"/>
  <c r="D176" i="12" s="1"/>
  <c r="J307" i="9"/>
  <c r="AA308" i="9"/>
  <c r="AA309" i="9" s="1"/>
  <c r="AB151" i="9"/>
  <c r="J54" i="11" l="1"/>
  <c r="K54" i="11" s="1"/>
  <c r="J309" i="9"/>
  <c r="J312" i="9"/>
  <c r="G33" i="13" s="1"/>
  <c r="H45" i="11"/>
  <c r="H46" i="11" s="1"/>
  <c r="E104" i="11"/>
  <c r="D104" i="11"/>
  <c r="G47" i="11"/>
  <c r="H47" i="11" s="1"/>
  <c r="D44" i="11"/>
  <c r="F75" i="11" s="1"/>
  <c r="D75" i="11" s="1"/>
  <c r="E44" i="11"/>
  <c r="G75" i="11" s="1"/>
  <c r="E75" i="11" s="1"/>
  <c r="AB153" i="9"/>
  <c r="AB304" i="9"/>
  <c r="AB305" i="9" s="1"/>
  <c r="G48" i="11" l="1"/>
  <c r="I45" i="11"/>
  <c r="J45" i="11" s="1"/>
  <c r="I47" i="11"/>
  <c r="H48" i="11"/>
  <c r="AB308" i="9"/>
  <c r="AB309" i="9" s="1"/>
  <c r="AC151" i="9"/>
  <c r="I46" i="11" l="1"/>
  <c r="J47" i="11"/>
  <c r="I48" i="11"/>
  <c r="K45" i="11"/>
  <c r="J46" i="11"/>
  <c r="AC153" i="9"/>
  <c r="AC304" i="9"/>
  <c r="AC305" i="9" s="1"/>
  <c r="K47" i="11" l="1"/>
  <c r="J48" i="11"/>
  <c r="L45" i="11"/>
  <c r="K46" i="11"/>
  <c r="AC308" i="9"/>
  <c r="AC309" i="9" s="1"/>
  <c r="AD151" i="9"/>
  <c r="L47" i="11" l="1"/>
  <c r="K48" i="11"/>
  <c r="M45" i="11"/>
  <c r="L46" i="11"/>
  <c r="AD153" i="9"/>
  <c r="AD304" i="9"/>
  <c r="AD305" i="9" s="1"/>
  <c r="M47" i="11" l="1"/>
  <c r="M48" i="11" s="1"/>
  <c r="L48" i="11"/>
  <c r="M46" i="11"/>
  <c r="G77" i="11" s="1"/>
  <c r="AD308" i="9"/>
  <c r="AD309" i="9" s="1"/>
  <c r="AE151" i="9"/>
  <c r="E77" i="11" l="1"/>
  <c r="F77" i="11"/>
  <c r="D77" i="11" s="1"/>
  <c r="G78" i="11"/>
  <c r="AE153" i="9"/>
  <c r="J155" i="9" s="1"/>
  <c r="G26" i="13" s="1"/>
  <c r="AE304" i="9"/>
  <c r="AE305" i="9" s="1"/>
  <c r="F78" i="11" l="1"/>
  <c r="D78" i="11" s="1"/>
  <c r="E78" i="11"/>
  <c r="AE308" i="9"/>
  <c r="AE309" i="9" s="1"/>
  <c r="AF151" i="9"/>
  <c r="AF153" i="9" l="1"/>
  <c r="AF304" i="9"/>
  <c r="AF305" i="9" s="1"/>
  <c r="AF308" i="9" l="1"/>
  <c r="AF309" i="9" s="1"/>
  <c r="AG151" i="9"/>
  <c r="AG153" i="9" l="1"/>
  <c r="AG304" i="9"/>
  <c r="AG305" i="9" s="1"/>
  <c r="AG308" i="9" l="1"/>
  <c r="AG309" i="9" s="1"/>
  <c r="AH151" i="9"/>
  <c r="AH153" i="9" l="1"/>
  <c r="AH304" i="9"/>
  <c r="AH305" i="9" s="1"/>
  <c r="AH308" i="9" l="1"/>
  <c r="AH309" i="9" s="1"/>
  <c r="AI151" i="9"/>
  <c r="AI153" i="9" l="1"/>
  <c r="AI304" i="9"/>
  <c r="AI305" i="9" s="1"/>
  <c r="AI308" i="9" l="1"/>
  <c r="AI309" i="9" s="1"/>
  <c r="AJ151" i="9"/>
  <c r="AJ153" i="9" l="1"/>
  <c r="AJ304" i="9"/>
  <c r="AJ305" i="9" s="1"/>
  <c r="AJ308" i="9" l="1"/>
  <c r="AJ309" i="9" s="1"/>
  <c r="AK151" i="9"/>
  <c r="AK153" i="9" l="1"/>
  <c r="AK304" i="9"/>
  <c r="AK305" i="9" s="1"/>
  <c r="AK308" i="9" l="1"/>
  <c r="AK309" i="9" s="1"/>
  <c r="AL151" i="9"/>
  <c r="AL153" i="9" l="1"/>
  <c r="J156" i="9" s="1"/>
  <c r="G27" i="13" s="1"/>
  <c r="G39" i="13" s="1"/>
  <c r="AL304" i="9"/>
  <c r="AL305" i="9" s="1"/>
  <c r="AL308" i="9" l="1"/>
  <c r="AL309" i="9" s="1"/>
  <c r="AM151" i="9"/>
  <c r="AM153" i="9" l="1"/>
  <c r="AM304" i="9"/>
  <c r="AM305" i="9" s="1"/>
  <c r="AM308" i="9" l="1"/>
  <c r="AM309" i="9" s="1"/>
  <c r="AN151" i="9"/>
  <c r="AN153" i="9" l="1"/>
  <c r="AN304" i="9"/>
  <c r="AN305" i="9" s="1"/>
  <c r="AN308" i="9" l="1"/>
  <c r="AN309" i="9" s="1"/>
  <c r="AO151" i="9"/>
  <c r="AO153" i="9" l="1"/>
  <c r="AO308" i="9" s="1"/>
  <c r="AO309" i="9" s="1"/>
  <c r="AO304" i="9"/>
  <c r="AO305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16" authorId="0" shapeId="0" xr:uid="{00000000-0006-0000-0400-000001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дата первого платежа без учета бюджетного графика</t>
        </r>
      </text>
    </comment>
    <comment ref="J17" authorId="0" shapeId="0" xr:uid="{00000000-0006-0000-0400-00000200000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кол-во платежей
</t>
        </r>
      </text>
    </comment>
  </commentList>
</comments>
</file>

<file path=xl/sharedStrings.xml><?xml version="1.0" encoding="utf-8"?>
<sst xmlns="http://schemas.openxmlformats.org/spreadsheetml/2006/main" count="1430" uniqueCount="541">
  <si>
    <t>Прогноз  движения денежных средств по проекту:</t>
  </si>
  <si>
    <t>Фонд развития промышленности Кировской области</t>
  </si>
  <si>
    <t>Версия ПДДС: 1.2.</t>
  </si>
  <si>
    <t>Программы финансирования</t>
  </si>
  <si>
    <t>Основные условия</t>
  </si>
  <si>
    <t>Наименование программы</t>
  </si>
  <si>
    <t>Минимальная сумма займа, тыс. руб.</t>
  </si>
  <si>
    <t>Максимальная сумма займа, тыс. руб.</t>
  </si>
  <si>
    <t>Максимальный срок займа, месяцев</t>
  </si>
  <si>
    <t>Базовая процентная ставка, % годовых</t>
  </si>
  <si>
    <t>Условия</t>
  </si>
  <si>
    <t>Новые резервы</t>
  </si>
  <si>
    <t>Длительность использования льготной ставки, месяцев</t>
  </si>
  <si>
    <t>Минимальный бюджет и минимальная сумма финансирования проекта собственными средствами</t>
  </si>
  <si>
    <t>Доля софинансирования, %</t>
  </si>
  <si>
    <t>в т.ч. за счет собственных средств, %</t>
  </si>
  <si>
    <t>Мин. бюджет проекта, 
тыс. руб.</t>
  </si>
  <si>
    <t>Мин. финансирование собственными средствами, 
тыс. руб.</t>
  </si>
  <si>
    <t>Лист "Параметры займа"</t>
  </si>
  <si>
    <t>Параметр</t>
  </si>
  <si>
    <t>Пояснение</t>
  </si>
  <si>
    <t>Программа финансирования</t>
  </si>
  <si>
    <t>Дата получения займа</t>
  </si>
  <si>
    <t>Установить прогнозную дату получения займа. Если неизвестна, то установить дату середины квартала + 1 день.</t>
  </si>
  <si>
    <t>Установить продолжительность срока погашения тела займа (в месяцах) в соответствии со Стандартом Фонда для выбранной программы. Ознакомиться со стандартами можно на сайте Фонда.</t>
  </si>
  <si>
    <t>Целевые показатели</t>
  </si>
  <si>
    <t>Дата начала прогнозного периода</t>
  </si>
  <si>
    <t>Параметры займа</t>
  </si>
  <si>
    <t>Дата завершения прогнозного периода</t>
  </si>
  <si>
    <t>тыс. руб.</t>
  </si>
  <si>
    <t>Месяцев в году</t>
  </si>
  <si>
    <t>Исходные параметры</t>
  </si>
  <si>
    <t>Кварталов в году</t>
  </si>
  <si>
    <t>Месяцев в квартале</t>
  </si>
  <si>
    <t>Наименование проекта</t>
  </si>
  <si>
    <t>Технические параметры (скрыты)</t>
  </si>
  <si>
    <t>Дата середины квартала погашения займа</t>
  </si>
  <si>
    <t>Расчётные параметры</t>
  </si>
  <si>
    <t>Сумма займа, тыс. руб.</t>
  </si>
  <si>
    <t>Месяц даты погашения займа</t>
  </si>
  <si>
    <t/>
  </si>
  <si>
    <t>Дата 1-го процентного платежа</t>
  </si>
  <si>
    <t>Срок займа, мес.</t>
  </si>
  <si>
    <t>Последний месяц квартала получения займа</t>
  </si>
  <si>
    <t>Последний месяц квартала, предшествующего дате погашения займа</t>
  </si>
  <si>
    <t>Дата 1-го платежа по телу займа</t>
  </si>
  <si>
    <t>Продолжительность погашения тела займа, мес.</t>
  </si>
  <si>
    <t>Год получения займа</t>
  </si>
  <si>
    <t>Дата погашения займа</t>
  </si>
  <si>
    <t>Ежеквартальный платеж, тыс. руб.</t>
  </si>
  <si>
    <t>Итого сумма платежей, тыс. руб.</t>
  </si>
  <si>
    <t>Требуемое обеспечение, тыс. руб.</t>
  </si>
  <si>
    <t>График погашения тела займа</t>
  </si>
  <si>
    <t>График обслуживания займа</t>
  </si>
  <si>
    <t>Дата погашения тела займа</t>
  </si>
  <si>
    <t>Год</t>
  </si>
  <si>
    <t>№ календарного квартала</t>
  </si>
  <si>
    <t>Сумма погашения, тыс. руб.</t>
  </si>
  <si>
    <t>Задолженность по телу займа, тыс. руб.</t>
  </si>
  <si>
    <t>Дата процентного платежа</t>
  </si>
  <si>
    <t>Сумма процентного платежа, тыс. руб.</t>
  </si>
  <si>
    <t>Отчетность по кварталам</t>
  </si>
  <si>
    <t>Наименование</t>
  </si>
  <si>
    <t>Ед. изм.</t>
  </si>
  <si>
    <t>Календарный год</t>
  </si>
  <si>
    <t>Денежный поток от текущих операций</t>
  </si>
  <si>
    <t>Денежный поток от инвестиционных операций</t>
  </si>
  <si>
    <t>Привлечение долга</t>
  </si>
  <si>
    <t>Прочие поступления</t>
  </si>
  <si>
    <t>CFADS</t>
  </si>
  <si>
    <t>Выплата процентов по кредитам и займам</t>
  </si>
  <si>
    <t>Итого</t>
  </si>
  <si>
    <t>Проект</t>
  </si>
  <si>
    <t>Выручка</t>
  </si>
  <si>
    <t>Отчет о движении денежных средств</t>
  </si>
  <si>
    <t>Денежный поток по операционной деятельности</t>
  </si>
  <si>
    <t>Поступления</t>
  </si>
  <si>
    <t>Платежи</t>
  </si>
  <si>
    <t>Итого операционный денежный поток</t>
  </si>
  <si>
    <t>Денежный поток по инвестиционной деятельности</t>
  </si>
  <si>
    <t>Итого инвестиционный денежный поток</t>
  </si>
  <si>
    <t>Денежный поток по финансовой деятельности</t>
  </si>
  <si>
    <t>Получение кредитов и займов, в т.ч.</t>
  </si>
  <si>
    <t>Итого финансовый денежный поток</t>
  </si>
  <si>
    <t>ОСВ: Денежные средства</t>
  </si>
  <si>
    <t>Остаток д/с на начало периода</t>
  </si>
  <si>
    <t>Изменение д/с за период</t>
  </si>
  <si>
    <t>Остаток д/с на конец периода</t>
  </si>
  <si>
    <t>Проверка отсутствия отрицательных остатков в течение срока займа</t>
  </si>
  <si>
    <t>Проверка отсутствия отрицательных остатков в течение всех периодов</t>
  </si>
  <si>
    <t>DSCR</t>
  </si>
  <si>
    <t>Показатель</t>
  </si>
  <si>
    <t>в т.ч. за период займа</t>
  </si>
  <si>
    <t>тыс.руб.</t>
  </si>
  <si>
    <t>Объем налоговых поступлений</t>
  </si>
  <si>
    <t>Количество создаваемых рабочих мест</t>
  </si>
  <si>
    <t>ед.</t>
  </si>
  <si>
    <t>код периода</t>
  </si>
  <si>
    <t>Целевое назначение займа:
1. Приобретение оборудования.
2. Пополнение оборотных средств для закупки сырья, материалов и комплектующих.
Обеспечение: в соответствии со стандартом Фонда.
Софинансирование со стороны заявителя, частных инвесторов или банков:  требуется 20%</t>
  </si>
  <si>
    <t>Условия для использования льготных и повышенных процентных ставок</t>
  </si>
  <si>
    <t>Приобретение отечественного оборудования, приобретение новых производственных технологий – промышленного отечественного оборудования более чем на 50% займа</t>
  </si>
  <si>
    <t>Приобретение отечественного программного обеспечения более чем на 50% займа</t>
  </si>
  <si>
    <t>Если приобретаемое оборудование выступает в качестве обеспечения по займу</t>
  </si>
  <si>
    <t>Условия, определяющие ставку</t>
  </si>
  <si>
    <t>Ставка</t>
  </si>
  <si>
    <t>иное</t>
  </si>
  <si>
    <t>Предпосылки</t>
  </si>
  <si>
    <t>Облагается НДС?</t>
  </si>
  <si>
    <t>Период поступления на баланс</t>
  </si>
  <si>
    <t>Период ввода в эксплуатацию</t>
  </si>
  <si>
    <t>Норма амортизации, % в год</t>
  </si>
  <si>
    <t>Облагается налогом на имущество?</t>
  </si>
  <si>
    <t>R</t>
  </si>
  <si>
    <t>да</t>
  </si>
  <si>
    <t>нет</t>
  </si>
  <si>
    <t>Информация о Заемщике</t>
  </si>
  <si>
    <t>Название проекта</t>
  </si>
  <si>
    <t>Статус СМСП</t>
  </si>
  <si>
    <t>УСНО Доходы без НДС</t>
  </si>
  <si>
    <t>УСНО Доходы ставка НДС 5%</t>
  </si>
  <si>
    <t>УСНО Доходы ставка НДС 7%</t>
  </si>
  <si>
    <t>УСНО Доходы ставка НДС 20%</t>
  </si>
  <si>
    <t>УСНО Доходы минус расходы без НДС</t>
  </si>
  <si>
    <t>УСНО Доходы минус расходы НДС 5%</t>
  </si>
  <si>
    <t>УСНО Доходы минус расходы НДС 7%</t>
  </si>
  <si>
    <t>УСНО Доходы минус расходы НДС 20%</t>
  </si>
  <si>
    <t>ОСНО</t>
  </si>
  <si>
    <t>Дата начала начисления %</t>
  </si>
  <si>
    <t>Период</t>
  </si>
  <si>
    <t>2 кв 2026</t>
  </si>
  <si>
    <t>Ранее понесённые затраты</t>
  </si>
  <si>
    <t>Планируемые затраты (в т.ч. остаток задолженности)</t>
  </si>
  <si>
    <t>График оплаты объектов капитальных вложений, % от суммы планируемых затрат (в т.ч. от остатка задолженности)</t>
  </si>
  <si>
    <t>Сумма, тыс. руб. в т.ч. НДС</t>
  </si>
  <si>
    <t>Продажи</t>
  </si>
  <si>
    <t>Параметры реализуемой продукции</t>
  </si>
  <si>
    <t>Ед. изм. продукции</t>
  </si>
  <si>
    <t>Вид ставки НДС</t>
  </si>
  <si>
    <t>Экспорт?</t>
  </si>
  <si>
    <t>Продукт 2</t>
  </si>
  <si>
    <t>Продукт 3</t>
  </si>
  <si>
    <t>Продукт 4</t>
  </si>
  <si>
    <t>Продукт 5</t>
  </si>
  <si>
    <t>Продукт 6</t>
  </si>
  <si>
    <t>Продукт 7</t>
  </si>
  <si>
    <t>Продукт 8</t>
  </si>
  <si>
    <t>Продукт 9</t>
  </si>
  <si>
    <t>Продукт 10</t>
  </si>
  <si>
    <t>Продукт 11</t>
  </si>
  <si>
    <t>Продукт 12</t>
  </si>
  <si>
    <t>Продукт 13</t>
  </si>
  <si>
    <t>Продукт 14</t>
  </si>
  <si>
    <t>Продукт 15</t>
  </si>
  <si>
    <t>Продукт 16</t>
  </si>
  <si>
    <t>Продукт 17</t>
  </si>
  <si>
    <t>Продукт 18</t>
  </si>
  <si>
    <t>Продукт 19</t>
  </si>
  <si>
    <t>Цена за единицу продукции, тыс. в т.ч. НДС</t>
  </si>
  <si>
    <t>Объем продаж в натуральном выражении</t>
  </si>
  <si>
    <t>Оборудование 10</t>
  </si>
  <si>
    <t>Оборудование 11</t>
  </si>
  <si>
    <t>Оборудование 12</t>
  </si>
  <si>
    <t>Оборудование 13</t>
  </si>
  <si>
    <t>Оборудование 14</t>
  </si>
  <si>
    <t>Оборудование 15</t>
  </si>
  <si>
    <t>Оборудование 16</t>
  </si>
  <si>
    <t>Оборудование 17</t>
  </si>
  <si>
    <t>Оборудование 18</t>
  </si>
  <si>
    <t>Оборудование 19</t>
  </si>
  <si>
    <t>Оборудование 20</t>
  </si>
  <si>
    <t>Доля Экспорта</t>
  </si>
  <si>
    <t>Наименование затрат →</t>
  </si>
  <si>
    <t>Ед. изм. →</t>
  </si>
  <si>
    <t>Цена за единицу операционных затрат, тыс. в т.ч. НДС</t>
  </si>
  <si>
    <t>Вид ставки НДС в цене операционных затрат</t>
  </si>
  <si>
    <t>Стоимсоть прямых расходов в тыс. руб. на 1 ед. продукции с НДС</t>
  </si>
  <si>
    <t>Стоимсоть прямых расходов в тыс. руб. на 1 ед. продукции без НДС</t>
  </si>
  <si>
    <t>Категория затрат</t>
  </si>
  <si>
    <t>Применять индексацию?</t>
  </si>
  <si>
    <t>Управленческие</t>
  </si>
  <si>
    <t>Коммерческие</t>
  </si>
  <si>
    <t>Производственные</t>
  </si>
  <si>
    <t>Норма расхода на единицу продукции и прямая себестоимость в разрезе продукции</t>
  </si>
  <si>
    <t>Параметры общехозяйственных затрат, тыс. руб.</t>
  </si>
  <si>
    <t>Заработная плата 1 сотрудника, тыс. руб. в месяц</t>
  </si>
  <si>
    <t>Численность  персонала</t>
  </si>
  <si>
    <t xml:space="preserve">Отчисления </t>
  </si>
  <si>
    <t>НДФЛ</t>
  </si>
  <si>
    <t>Количество рабочих мест, созданных в ходе реализации проекта</t>
  </si>
  <si>
    <t>Новые рабочие места</t>
  </si>
  <si>
    <t>Итого численность</t>
  </si>
  <si>
    <t>Контактное лицо по ФМ</t>
  </si>
  <si>
    <t>комплет</t>
  </si>
  <si>
    <t>Цена за единицу операционных затрат, тыс. без НДС</t>
  </si>
  <si>
    <t>Признак НДС к вычету</t>
  </si>
  <si>
    <t>Комиссия годовая по БГ</t>
  </si>
  <si>
    <t>Комиссионное вознаграждение за банковскую гарантию</t>
  </si>
  <si>
    <t>Общие нужды</t>
  </si>
  <si>
    <t>Ремонт и обслуживание оборудования</t>
  </si>
  <si>
    <t>Финансирование</t>
  </si>
  <si>
    <t>Собственные средства</t>
  </si>
  <si>
    <t>Источник</t>
  </si>
  <si>
    <t>Ранее привлечено</t>
  </si>
  <si>
    <t>Планируется к привлечению</t>
  </si>
  <si>
    <t>Доля, %</t>
  </si>
  <si>
    <t>Заём бенефициара/аффилированных лиц</t>
  </si>
  <si>
    <t>Кредит/заём (с графиком)</t>
  </si>
  <si>
    <t>Сумма ранее понесенных затрат не превышает сумму ранее привлеченного финансирования</t>
  </si>
  <si>
    <t>Заём РФРП КО</t>
  </si>
  <si>
    <t>Структура финансирования проекта свод</t>
  </si>
  <si>
    <t>Наименование кредитора</t>
  </si>
  <si>
    <t>% ставка</t>
  </si>
  <si>
    <t>Порядок гашения</t>
  </si>
  <si>
    <t>Кредит 2</t>
  </si>
  <si>
    <t>Кредит 3</t>
  </si>
  <si>
    <t>Ставка дисконтирования</t>
  </si>
  <si>
    <t>Макроэкономика</t>
  </si>
  <si>
    <t>Инфляция</t>
  </si>
  <si>
    <t>Цены на продукцию</t>
  </si>
  <si>
    <t>Прямые затраты</t>
  </si>
  <si>
    <t>Общехозяйственные затраты</t>
  </si>
  <si>
    <t>Заработные платы</t>
  </si>
  <si>
    <t>Текущая деятельность</t>
  </si>
  <si>
    <t>Денежный поток от финансовых операций</t>
  </si>
  <si>
    <t>Изменение денежных потоков за период</t>
  </si>
  <si>
    <t>Взносы учредителей (акционеров)</t>
  </si>
  <si>
    <r>
      <t xml:space="preserve">Погашение кредитов и займов </t>
    </r>
    <r>
      <rPr>
        <sz val="11"/>
        <color rgb="FFFF0000"/>
        <rFont val="Calibri"/>
        <family val="2"/>
        <charset val="204"/>
        <scheme val="minor"/>
      </rPr>
      <t>(-)</t>
    </r>
  </si>
  <si>
    <r>
      <t xml:space="preserve">Выплата процентов по кредитам и займам </t>
    </r>
    <r>
      <rPr>
        <sz val="11"/>
        <color rgb="FFFF0000"/>
        <rFont val="Calibri"/>
        <family val="2"/>
        <charset val="204"/>
        <scheme val="minor"/>
      </rPr>
      <t>(-)</t>
    </r>
  </si>
  <si>
    <t>Техподдержка финансовой модели Фонда: fm@frprf.ru</t>
  </si>
  <si>
    <t>Руководство</t>
  </si>
  <si>
    <t>Выводы</t>
  </si>
  <si>
    <t>Календарный квартал</t>
  </si>
  <si>
    <t>Период займа ФРП</t>
  </si>
  <si>
    <t>Поступления от покупателей</t>
  </si>
  <si>
    <t>Возмещение НДС</t>
  </si>
  <si>
    <r>
      <t xml:space="preserve">Платежи поставщикам, в т.ч. формирование запасов </t>
    </r>
    <r>
      <rPr>
        <sz val="11"/>
        <color rgb="FFFF0000"/>
        <rFont val="Calibri"/>
        <family val="2"/>
        <charset val="204"/>
        <scheme val="minor"/>
      </rPr>
      <t>(-)</t>
    </r>
  </si>
  <si>
    <r>
      <t xml:space="preserve">Выплата заработной платы </t>
    </r>
    <r>
      <rPr>
        <sz val="11"/>
        <color rgb="FFFF0000"/>
        <rFont val="Calibri"/>
        <family val="2"/>
        <charset val="204"/>
        <scheme val="minor"/>
      </rPr>
      <t>(-)</t>
    </r>
  </si>
  <si>
    <r>
      <t xml:space="preserve">Уплата НДС </t>
    </r>
    <r>
      <rPr>
        <sz val="11"/>
        <color rgb="FFFF0000"/>
        <rFont val="Calibri"/>
        <family val="2"/>
        <charset val="204"/>
        <scheme val="minor"/>
      </rPr>
      <t>(-)</t>
    </r>
  </si>
  <si>
    <r>
      <t xml:space="preserve">Уплата налога на имущество </t>
    </r>
    <r>
      <rPr>
        <sz val="11"/>
        <color rgb="FFFF0000"/>
        <rFont val="Calibri"/>
        <family val="2"/>
        <charset val="204"/>
        <scheme val="minor"/>
      </rPr>
      <t>(-)</t>
    </r>
  </si>
  <si>
    <r>
      <t xml:space="preserve">Уплата налога на прибыль </t>
    </r>
    <r>
      <rPr>
        <sz val="11"/>
        <color rgb="FFFF0000"/>
        <rFont val="Calibri"/>
        <family val="2"/>
        <charset val="204"/>
        <scheme val="minor"/>
      </rPr>
      <t>(-)</t>
    </r>
  </si>
  <si>
    <r>
      <t xml:space="preserve">Уплата НДФЛ </t>
    </r>
    <r>
      <rPr>
        <sz val="11"/>
        <color rgb="FFFF0000"/>
        <rFont val="Calibri"/>
        <family val="2"/>
        <charset val="204"/>
        <scheme val="minor"/>
      </rPr>
      <t>(-)</t>
    </r>
  </si>
  <si>
    <r>
      <t xml:space="preserve">Уплата страховых взносов </t>
    </r>
    <r>
      <rPr>
        <sz val="11"/>
        <color rgb="FFFF0000"/>
        <rFont val="Calibri"/>
        <family val="2"/>
        <charset val="204"/>
        <scheme val="minor"/>
      </rPr>
      <t>(-)</t>
    </r>
  </si>
  <si>
    <r>
      <t xml:space="preserve">Платежи по капитальным вложениям </t>
    </r>
    <r>
      <rPr>
        <sz val="11"/>
        <color rgb="FFFF0000"/>
        <rFont val="Calibri"/>
        <family val="2"/>
        <charset val="204"/>
        <scheme val="minor"/>
      </rPr>
      <t>(-)</t>
    </r>
  </si>
  <si>
    <t>Получение кредитов и займов</t>
  </si>
  <si>
    <t>Привлечение собственных средств в Проект</t>
  </si>
  <si>
    <t>%</t>
  </si>
  <si>
    <t>Продажа продукции, товаров, работ, услуг</t>
  </si>
  <si>
    <t>Арендные платежи, лицензионные соглашения, роялти, комиссионные и иные аналогичные платежи платежи</t>
  </si>
  <si>
    <t>Перепродажа финансовых вложений</t>
  </si>
  <si>
    <r>
      <t xml:space="preserve">Платежи поставщикам затрат по текущей д-ти </t>
    </r>
    <r>
      <rPr>
        <sz val="11"/>
        <color rgb="FFFF0000"/>
        <rFont val="Calibri"/>
        <family val="2"/>
        <charset val="204"/>
        <scheme val="minor"/>
      </rPr>
      <t>(-)</t>
    </r>
  </si>
  <si>
    <r>
      <t xml:space="preserve">Оплата труда работников </t>
    </r>
    <r>
      <rPr>
        <sz val="11"/>
        <color rgb="FFFF0000"/>
        <rFont val="Calibri"/>
        <family val="2"/>
        <charset val="204"/>
        <scheme val="minor"/>
      </rPr>
      <t>(-)</t>
    </r>
  </si>
  <si>
    <r>
      <t xml:space="preserve">Проценты по долговым обязательствам </t>
    </r>
    <r>
      <rPr>
        <sz val="11"/>
        <color rgb="FFFF0000"/>
        <rFont val="Calibri"/>
        <family val="2"/>
        <charset val="204"/>
        <scheme val="minor"/>
      </rPr>
      <t>(-)</t>
    </r>
  </si>
  <si>
    <r>
      <t xml:space="preserve">Прочие платежи </t>
    </r>
    <r>
      <rPr>
        <sz val="11"/>
        <color rgb="FFFF0000"/>
        <rFont val="Calibri"/>
        <family val="2"/>
        <charset val="204"/>
        <scheme val="minor"/>
      </rPr>
      <t>(-)</t>
    </r>
  </si>
  <si>
    <t>Продажа внеоборотных активов</t>
  </si>
  <si>
    <t>Продажа долей участия</t>
  </si>
  <si>
    <t>Возврат выданных займов</t>
  </si>
  <si>
    <t>Дивиденды (проценты) по фин. вложениям</t>
  </si>
  <si>
    <r>
      <t xml:space="preserve">Финансирование затрат по Проекту </t>
    </r>
    <r>
      <rPr>
        <sz val="11"/>
        <color rgb="FFFF0000"/>
        <rFont val="Calibri"/>
        <family val="2"/>
        <charset val="204"/>
        <scheme val="minor"/>
      </rPr>
      <t>(-)</t>
    </r>
  </si>
  <si>
    <r>
      <t xml:space="preserve">Приобретение долей участия в др. организациях </t>
    </r>
    <r>
      <rPr>
        <sz val="11"/>
        <color rgb="FFFF0000"/>
        <rFont val="Calibri"/>
        <family val="2"/>
        <charset val="204"/>
        <scheme val="minor"/>
      </rPr>
      <t>(-)</t>
    </r>
  </si>
  <si>
    <r>
      <t xml:space="preserve">Предоставление займов </t>
    </r>
    <r>
      <rPr>
        <sz val="11"/>
        <color rgb="FFFF0000"/>
        <rFont val="Calibri"/>
        <family val="2"/>
        <charset val="204"/>
        <scheme val="minor"/>
      </rPr>
      <t>(-)</t>
    </r>
  </si>
  <si>
    <t xml:space="preserve">  - краткосрочные кредиты и займы, в т.ч.</t>
  </si>
  <si>
    <t xml:space="preserve">      - кредит краткосрочный 1</t>
  </si>
  <si>
    <t xml:space="preserve">      - кредит краткосрочный 2</t>
  </si>
  <si>
    <t xml:space="preserve">      - кредит краткосрочный 3</t>
  </si>
  <si>
    <t xml:space="preserve">      - кредит краткосрочный 4</t>
  </si>
  <si>
    <t xml:space="preserve">  - долгосрочные кредиты и займы, в т.ч.</t>
  </si>
  <si>
    <t xml:space="preserve">      - кредит долгосрочный 1</t>
  </si>
  <si>
    <t xml:space="preserve">      - кредит долгосрочный 2</t>
  </si>
  <si>
    <t xml:space="preserve">      - кредит долгосрочный 3</t>
  </si>
  <si>
    <t xml:space="preserve">      - кредит долгосрочный 4</t>
  </si>
  <si>
    <t>Денежные вклады акционеров (учредителей)</t>
  </si>
  <si>
    <t>Выпуск акций (долей участия)</t>
  </si>
  <si>
    <t>Выпуск долговых ценных бумаг</t>
  </si>
  <si>
    <r>
      <t xml:space="preserve">Выкуп акций (долей участия) </t>
    </r>
    <r>
      <rPr>
        <sz val="11"/>
        <color rgb="FFFF0000"/>
        <rFont val="Calibri"/>
        <family val="2"/>
        <charset val="204"/>
        <scheme val="minor"/>
      </rPr>
      <t>(-)</t>
    </r>
  </si>
  <si>
    <r>
      <t xml:space="preserve">Уплата дивидендов </t>
    </r>
    <r>
      <rPr>
        <sz val="11"/>
        <color rgb="FFFF0000"/>
        <rFont val="Calibri"/>
        <family val="2"/>
        <charset val="204"/>
        <scheme val="minor"/>
      </rPr>
      <t>(-)</t>
    </r>
  </si>
  <si>
    <r>
      <t xml:space="preserve">  - краткосрочные кредиты и займы  </t>
    </r>
    <r>
      <rPr>
        <sz val="11"/>
        <color rgb="FFFF0000"/>
        <rFont val="Calibri"/>
        <family val="2"/>
        <charset val="204"/>
        <scheme val="minor"/>
      </rPr>
      <t>(-)</t>
    </r>
  </si>
  <si>
    <r>
      <t xml:space="preserve">  - долгосрочные кредиты и займы </t>
    </r>
    <r>
      <rPr>
        <sz val="11"/>
        <color rgb="FFFF0000"/>
        <rFont val="Calibri"/>
        <family val="2"/>
        <charset val="204"/>
        <scheme val="minor"/>
      </rPr>
      <t xml:space="preserve"> (-)</t>
    </r>
  </si>
  <si>
    <t>Текущая деятельность с учетом Проекта</t>
  </si>
  <si>
    <r>
      <t xml:space="preserve">Платежи поставщикам затрат </t>
    </r>
    <r>
      <rPr>
        <sz val="11"/>
        <color rgb="FFFF0000"/>
        <rFont val="Calibri"/>
        <family val="2"/>
        <charset val="204"/>
        <scheme val="minor"/>
      </rPr>
      <t>(-)</t>
    </r>
  </si>
  <si>
    <t>ИТОГО</t>
  </si>
  <si>
    <t>В ПЕРИОД ЗАЙМА</t>
  </si>
  <si>
    <t>Результаты Проекта</t>
  </si>
  <si>
    <t>Операционный денежный поток (CFO)</t>
  </si>
  <si>
    <t>Инвестиционный денежный поток (CFI)</t>
  </si>
  <si>
    <t>Финансовый денежный поток (CFF)</t>
  </si>
  <si>
    <t>Чистый денежный поток (NCF)</t>
  </si>
  <si>
    <t>Свободный денежный поток (FCFF)</t>
  </si>
  <si>
    <t>Дисконтированный денежный поток (DFF)</t>
  </si>
  <si>
    <t>c учетом ранее понесенных расходов</t>
  </si>
  <si>
    <t>без учета ранее понесенных расходов</t>
  </si>
  <si>
    <t>NPV</t>
  </si>
  <si>
    <t>IRR</t>
  </si>
  <si>
    <t>PBP</t>
  </si>
  <si>
    <t>лет</t>
  </si>
  <si>
    <t>DPBP</t>
  </si>
  <si>
    <t>Объем средств частных инвесторов</t>
  </si>
  <si>
    <t>Источники финансирования</t>
  </si>
  <si>
    <t>Планируется 
к привлечению</t>
  </si>
  <si>
    <t>Собственные средства организации</t>
  </si>
  <si>
    <t>Средства аффилированных лиц, бенефициаров</t>
  </si>
  <si>
    <t>Банковское кредитование</t>
  </si>
  <si>
    <t>Средства ФРП</t>
  </si>
  <si>
    <t>Итого бюджет</t>
  </si>
  <si>
    <t>Текущая деятельность (с учетом Проекта)</t>
  </si>
  <si>
    <t>ежеквартально</t>
  </si>
  <si>
    <t>разово</t>
  </si>
  <si>
    <t>Объем продаж в стоимостном выражении без индексации, тыс. руб.</t>
  </si>
  <si>
    <t>ИТОГО ВЫРУЧКА/ПОСТУПЛЕНИЯ</t>
  </si>
  <si>
    <t>Индекс Цены на продукцию за период</t>
  </si>
  <si>
    <t>Индекс Прямые затраты за период</t>
  </si>
  <si>
    <t>Накопленный индекс Прямые затраты за период</t>
  </si>
  <si>
    <t>Индекс Общехозяйственные затраты</t>
  </si>
  <si>
    <t>Накопленный индекс общехозяйственных затрта</t>
  </si>
  <si>
    <t>Индекс Заработные платы</t>
  </si>
  <si>
    <t>Накопленный индекс заработной платы</t>
  </si>
  <si>
    <t>Период получения денег</t>
  </si>
  <si>
    <t>Период начала гашения основого долга с учетом субординации</t>
  </si>
  <si>
    <t>Период окончания займа</t>
  </si>
  <si>
    <t>Ед.Изм.</t>
  </si>
  <si>
    <t>Оборудование 9</t>
  </si>
  <si>
    <t>Целевое направление использование займа</t>
  </si>
  <si>
    <t>Страна</t>
  </si>
  <si>
    <t>Признак налога на прибыль</t>
  </si>
  <si>
    <t>Промышленое оборудование</t>
  </si>
  <si>
    <t>Вспомогательное оборудование, спецтехника, транспортные средства</t>
  </si>
  <si>
    <t>Адаптация и инжиниринг</t>
  </si>
  <si>
    <t>Лицензии и патенты</t>
  </si>
  <si>
    <t>Целевое использование займа</t>
  </si>
  <si>
    <t>Направление займа</t>
  </si>
  <si>
    <t>Величина ставки, % годовых</t>
  </si>
  <si>
    <t>Макисмальная доля, %</t>
  </si>
  <si>
    <t>Проведение ОКР</t>
  </si>
  <si>
    <t>Закупка сырья и материалов</t>
  </si>
  <si>
    <t>Общехозяйственные</t>
  </si>
  <si>
    <t>Бюджет проекта</t>
  </si>
  <si>
    <t>Общая сумма бюджета, тыс. руб. в т.ч. НДС</t>
  </si>
  <si>
    <t>ранее понесенные</t>
  </si>
  <si>
    <t>планируемые</t>
  </si>
  <si>
    <t>итого</t>
  </si>
  <si>
    <t>Доля за счет займа</t>
  </si>
  <si>
    <t>за счет заявителя</t>
  </si>
  <si>
    <t>за счет займа</t>
  </si>
  <si>
    <t>Бюджет проекта по направлениям использования, тыс. руб.</t>
  </si>
  <si>
    <t>РФ</t>
  </si>
  <si>
    <t>Китай</t>
  </si>
  <si>
    <t>США</t>
  </si>
  <si>
    <t>Страны Европы</t>
  </si>
  <si>
    <t>Страны Ази</t>
  </si>
  <si>
    <t>прочие</t>
  </si>
  <si>
    <t>Оплата за счет займа</t>
  </si>
  <si>
    <t>Оплата за счет Заявителя</t>
  </si>
  <si>
    <t>СМР и прочее</t>
  </si>
  <si>
    <t>структура займа</t>
  </si>
  <si>
    <t>Оборудование</t>
  </si>
  <si>
    <t>Сумма займа не превышает верхний предел</t>
  </si>
  <si>
    <t>Сумма софинансирования равна или больше 20%</t>
  </si>
  <si>
    <t>Структура займа в рамках стандарта</t>
  </si>
  <si>
    <t xml:space="preserve">Льготная ставка по приобретению отечественного оборудования выбрана корректно </t>
  </si>
  <si>
    <t>Сумма бюджета проекта первышает установленный минимум</t>
  </si>
  <si>
    <t>доля в займе,%</t>
  </si>
  <si>
    <t>в объеме займа</t>
  </si>
  <si>
    <t xml:space="preserve">ИТОГО НДС </t>
  </si>
  <si>
    <t>Период гашение субординированных займов не предшествует гашению займа фонда</t>
  </si>
  <si>
    <t>Условия и сроки привлеченные средств в проект без займа фонда, тыс. руб.</t>
  </si>
  <si>
    <t>Все расчёты корректны</t>
  </si>
  <si>
    <t>Проверка</t>
  </si>
  <si>
    <t>Результат</t>
  </si>
  <si>
    <t>Лист "Предпосылки"</t>
  </si>
  <si>
    <t>Сумма погашения  не превышает сумму привлечения</t>
  </si>
  <si>
    <t>Лист "Квартальная отчетность"</t>
  </si>
  <si>
    <t>Балансовое равенство - Текущая деятельность с учетом Проекта</t>
  </si>
  <si>
    <t>Лист "Годовая отчетность"</t>
  </si>
  <si>
    <t>Проверка корректности финансовой модели</t>
  </si>
  <si>
    <t>ставка НДС для выручки</t>
  </si>
  <si>
    <t>ИТОГО ВЫРУЧКА/ПОСТУПЛЕНИЯ БЕЗ НДС</t>
  </si>
  <si>
    <t>Прямые расходы на выпуск продукции тыс. руб., в т.ч. НДС</t>
  </si>
  <si>
    <t>ИТОГО ПРЯМЫЕ РАСХОДЫ, в т.ч. НДС</t>
  </si>
  <si>
    <t>ИТОГО ПРЯМЫЕ РАСХОДЫ, без НДС</t>
  </si>
  <si>
    <t>НДС к уменьшению</t>
  </si>
  <si>
    <t>Привлечение:</t>
  </si>
  <si>
    <t>ФОТ</t>
  </si>
  <si>
    <t>Корректировка закупки материалов за счет займа, в т.ч. НДС</t>
  </si>
  <si>
    <t>Корректировка закупки материалов за счет займа, без НДС</t>
  </si>
  <si>
    <t>Корректировка НДС к уменьшению</t>
  </si>
  <si>
    <t>Ставка НДС принимаемая к вычету</t>
  </si>
  <si>
    <t>Оплата инвестиций, тыс. руб. в т.ч. НДС</t>
  </si>
  <si>
    <t>Оплата инвестиций, тыс. руб. без НДС</t>
  </si>
  <si>
    <t>НДС, тыс. руб.</t>
  </si>
  <si>
    <t>ИТОГО общехозяйственных затрат, в т.ч. НДС</t>
  </si>
  <si>
    <t>Корректировка общехозяйственных затра за счет займа, в т.ч. НДС</t>
  </si>
  <si>
    <t>Корректировка общехозяйственных затра, без НДС</t>
  </si>
  <si>
    <t>ИТОГО общехозяйственных затрат, в без НДС</t>
  </si>
  <si>
    <t>х</t>
  </si>
  <si>
    <t>Корректировка ФОТ за счет займа</t>
  </si>
  <si>
    <t>Гашение основного долга:</t>
  </si>
  <si>
    <t>Проценты:</t>
  </si>
  <si>
    <t>Дата привлечения</t>
  </si>
  <si>
    <t>Кол-во месяцев заимстования с учетом субординации займа</t>
  </si>
  <si>
    <t>Кол-во месяцев моратория на выплату основного долга с учетом субординации займа</t>
  </si>
  <si>
    <t xml:space="preserve">Сколько сумма гашения в периоде </t>
  </si>
  <si>
    <t>Дата начала гашения долга</t>
  </si>
  <si>
    <t>дата окончания гашения</t>
  </si>
  <si>
    <t>сколько периодов гашения</t>
  </si>
  <si>
    <t>Ссудная задолженность:</t>
  </si>
  <si>
    <t>4 кв 2032</t>
  </si>
  <si>
    <t>Период горизонта планирования</t>
  </si>
  <si>
    <r>
      <t xml:space="preserve">Уплата УСНО </t>
    </r>
    <r>
      <rPr>
        <sz val="11"/>
        <color rgb="FFFF0000"/>
        <rFont val="Calibri"/>
        <family val="2"/>
        <charset val="204"/>
        <scheme val="minor"/>
      </rPr>
      <t>(-)</t>
    </r>
  </si>
  <si>
    <t>Накопленный индекс цены на продукцию</t>
  </si>
  <si>
    <t>ФОТ НАЧИСЛЕНИЕ</t>
  </si>
  <si>
    <t>Корректировка по ФОТ</t>
  </si>
  <si>
    <t>НДС начисленный</t>
  </si>
  <si>
    <t>НДС с прямых расходов</t>
  </si>
  <si>
    <t>НДС с Общехозяйственных</t>
  </si>
  <si>
    <t>НДС ОС</t>
  </si>
  <si>
    <t>Период принятия</t>
  </si>
  <si>
    <t>сдвижка кварталов для возмещения НДС</t>
  </si>
  <si>
    <t>НДС с Прочих Инвестиционных расходов</t>
  </si>
  <si>
    <t>Стоимость без НДС</t>
  </si>
  <si>
    <t>Налог</t>
  </si>
  <si>
    <t>налог на имущество</t>
  </si>
  <si>
    <t>Займ РФРП КО</t>
  </si>
  <si>
    <t>ФОТ за период - начисления</t>
  </si>
  <si>
    <t>Налог на прибыль</t>
  </si>
  <si>
    <t>Амортизация:</t>
  </si>
  <si>
    <t>Прибыль за период</t>
  </si>
  <si>
    <t>Убыток от Инвестиций</t>
  </si>
  <si>
    <t>Прибыль с капвложениями</t>
  </si>
  <si>
    <t>накопленный результат</t>
  </si>
  <si>
    <t>Расходы</t>
  </si>
  <si>
    <t>Финрезультат с Амортизацией</t>
  </si>
  <si>
    <t>Отчетность по годам</t>
  </si>
  <si>
    <t>ПРОВЕРКА</t>
  </si>
  <si>
    <t>через сумму остатоков ТД и Проекта</t>
  </si>
  <si>
    <t>согласно потребности</t>
  </si>
  <si>
    <t>Объем продаж продукции проекта физических единицах</t>
  </si>
  <si>
    <t>В период займа</t>
  </si>
  <si>
    <t>в период планирования</t>
  </si>
  <si>
    <t xml:space="preserve">Инвестиционная оценка (ставка дисконтирования </t>
  </si>
  <si>
    <t>%)</t>
  </si>
  <si>
    <t>Накопленный дискантированный поток (NPV)</t>
  </si>
  <si>
    <t>Последний год займа</t>
  </si>
  <si>
    <t>Горизонт планирования включительно</t>
  </si>
  <si>
    <t>Условия займа:</t>
  </si>
  <si>
    <t>Ставка займа</t>
  </si>
  <si>
    <t>Целевой объем продаж новой продукции без НДС</t>
  </si>
  <si>
    <t>Накопленный свободный поток</t>
  </si>
  <si>
    <t>Продукт 20</t>
  </si>
  <si>
    <t>Сумма долей всех предстоящих платежей сотсавляет 100%</t>
  </si>
  <si>
    <t>ПДДС по проекту:</t>
  </si>
  <si>
    <t>ПДДС по  Текущей деятельности:</t>
  </si>
  <si>
    <t>ПДДС по Текущей деятельности и проекту</t>
  </si>
  <si>
    <t>% для гашения кассовых разрывов</t>
  </si>
  <si>
    <t>% по оборотным кредитам</t>
  </si>
  <si>
    <t>Кредит оборотный</t>
  </si>
  <si>
    <t>Справочно объем финансирования оборотного капитала</t>
  </si>
  <si>
    <t>версия ПДДС 1.0</t>
  </si>
  <si>
    <t>Руководство по заполнению ПДДС</t>
  </si>
  <si>
    <t>Указываем название проекта</t>
  </si>
  <si>
    <t>Общие рекомендации</t>
  </si>
  <si>
    <t>Поля для заполнения</t>
  </si>
  <si>
    <t>Период включения в интервал</t>
  </si>
  <si>
    <t>Неизменное поле</t>
  </si>
  <si>
    <t>Указываем Фамилию, имя , отчество отвественного лица и контактную информацию: телефон и электронную почту</t>
  </si>
  <si>
    <t>Оставляем выбор "Новые резервы"</t>
  </si>
  <si>
    <t xml:space="preserve">Выбрать из раскрывающегося списка наличие </t>
  </si>
  <si>
    <t>Сумма займа в тыс. руб. до 30 000 тыс.руб. - только цифры без пробелов</t>
  </si>
  <si>
    <t>Указываем  наименование заемщика</t>
  </si>
  <si>
    <t>Выбираем да или нет</t>
  </si>
  <si>
    <t>Выбираем из списка систему налогообложения</t>
  </si>
  <si>
    <t>Вносим построчно объекты, и в кажом столбце заполняем необходимую информацию</t>
  </si>
  <si>
    <t>Данные о прочих тратах займа</t>
  </si>
  <si>
    <t>Построчно отразились объекты, вы должны внести информацию о планируемой сумме оплаты</t>
  </si>
  <si>
    <t>Заполняем наименование, ед. измерения и указываем наличие экспорта и его долю</t>
  </si>
  <si>
    <t>Цену указываем на каждый период планирования для каждого продукта</t>
  </si>
  <si>
    <t>Указываем объемы для каждого продукта на каждый период планирования</t>
  </si>
  <si>
    <t>Заполняется автоматически пока без учета индексации</t>
  </si>
  <si>
    <t>Вносим информацию, если к проекту применимо</t>
  </si>
  <si>
    <t>Построчно отразились объекты, вы должны внести информацию о суммах уже оплаченых расходов в разрезе каждого объекта</t>
  </si>
  <si>
    <t>Информация по банковской гарнтии уже расчитана, далее определяете нужные статьи и на периоды планирования ставите необходимые суммы</t>
  </si>
  <si>
    <t>Продажи, цены и расходы</t>
  </si>
  <si>
    <t>Заполняем таблицу в разрезе заявленных источников</t>
  </si>
  <si>
    <t>Заполняется автоматически по параметрам таблицы "Условия и сроки привлечения средств в проект"</t>
  </si>
  <si>
    <t>Графики гашения привлеченных и привлекаемых средств в проект, тыс. руб.</t>
  </si>
  <si>
    <t>Заполняется автоматически</t>
  </si>
  <si>
    <t>Указываем в ручную и готовим обоснование почему такую ставку приняли</t>
  </si>
  <si>
    <t>Отчет о движении денежных средств за последние 4 квартала (не накопленным итогом)</t>
  </si>
  <si>
    <t>Расчёт CFADS и DSCR за последние 4 квартала (не накопленным итогом)</t>
  </si>
  <si>
    <t>Заполняем не достающие строки</t>
  </si>
  <si>
    <t>Формируется автоматически</t>
  </si>
  <si>
    <t>Лист "Годовая отчетность" и Лист "Выводы"</t>
  </si>
  <si>
    <t>Формируются автоматически</t>
  </si>
  <si>
    <t>frpko_43@mail.ru</t>
  </si>
  <si>
    <t>Лист "Проверка"</t>
  </si>
  <si>
    <t>Ставка выбирается автоматически с учётом выбранных условий займа</t>
  </si>
  <si>
    <t>Отображается, та как вы заполнили его на листе "Параметры займа"</t>
  </si>
  <si>
    <t>Устанавливаем % БГ</t>
  </si>
  <si>
    <t>Выбираем из списка период. ПДДС строим на период займа плюс 2 года</t>
  </si>
  <si>
    <t>Применяемая система налогообложения</t>
  </si>
  <si>
    <t>Последний отчётный период</t>
  </si>
  <si>
    <t>Данные об объектах капитальных вложений (Оборудование, транспортные средства и спецтехника, адаптация и инжиниринг оборудования, лицензии и патенты, ОКР)</t>
  </si>
  <si>
    <t>Оплата объектов капитальных вложений и операционных затрат по проекту</t>
  </si>
  <si>
    <t>Указываем проценты от остатка суммы к оплате на нужный период, итого должно быть всегда 100%
если у вас есть статьи "Материалы", "ФОТ", "Общие нужды" указывайте оплату в том объеме, который необходим по плановым объёмам проекта, чтобы в последствии у вас оплаты по данным статьям не превышали счетные параметры по ДДС</t>
  </si>
  <si>
    <t>Заполняем в два этапа:
заполняем информацию о расходах Наименование строка 212 диапазон D:K, ед. измерения стр 213  диапазон D:K, цены стр 214  диапазон D:K, ставки НДС стр 215  диапазон D:K
заполняете норму по каждому виду сырья и каждому заявленному продукту</t>
  </si>
  <si>
    <t xml:space="preserve">Указываете профессии, указываете затраты на содержание 1 ставки, и количество в период </t>
  </si>
  <si>
    <t>Указываете сколько создано рабочих мест только в соотвествующий год</t>
  </si>
  <si>
    <t>Заполняем по фактическим данным 3 периода и четвертый прогнозный</t>
  </si>
  <si>
    <t>Ставим % по каждому параметру, лучше пользоватся проверенными источниками</t>
  </si>
  <si>
    <t>Параметры</t>
  </si>
  <si>
    <t>Все таблицы</t>
  </si>
  <si>
    <t>Собирает информацию о контрольных параметрах, все параметры должны быть корректными</t>
  </si>
  <si>
    <t>ООО " "</t>
  </si>
  <si>
    <t>Нименование Заявителя</t>
  </si>
  <si>
    <t>Продукт 1</t>
  </si>
  <si>
    <t>Оборудование 1</t>
  </si>
  <si>
    <t>Оборудование 2</t>
  </si>
  <si>
    <t>Оборудование 3</t>
  </si>
  <si>
    <t>Оборудование 4</t>
  </si>
  <si>
    <t>Оборудование 5</t>
  </si>
  <si>
    <t>Оборудование 6</t>
  </si>
  <si>
    <t>Оборудование 7</t>
  </si>
  <si>
    <t>Оборудование 8</t>
  </si>
  <si>
    <t>Профессия 1</t>
  </si>
  <si>
    <t>Профессия 2</t>
  </si>
  <si>
    <t>Профессия 3</t>
  </si>
  <si>
    <t>Профессия 4</t>
  </si>
  <si>
    <t>Профессия 5</t>
  </si>
  <si>
    <t>Профессия 6</t>
  </si>
  <si>
    <t>Профессия 7</t>
  </si>
  <si>
    <t>Профессия 8</t>
  </si>
  <si>
    <t>Профессия 9</t>
  </si>
  <si>
    <t>Профессия 10</t>
  </si>
  <si>
    <t>Профессия 11</t>
  </si>
  <si>
    <t>Кредит (оборотный)</t>
  </si>
  <si>
    <t>УСНО Доходы минус расходы НДС 22%</t>
  </si>
  <si>
    <t>УСНО Доходы ставка НДС 22%</t>
  </si>
  <si>
    <t>Прочие Наименование</t>
  </si>
  <si>
    <t>Операционные затраты 1 Наименование</t>
  </si>
  <si>
    <t>Заполняете прогнозные значения по текущей деятельности в разрезе представленных статей (начиная со столбца таблицы "1" ("L") надо заполнить ячейки с строках 162-165, 169-173, 180-184, 189-192, 201-204, 206-213, 217-218, 221-224, 226-229, а также внести значения в ячейки L151 и L235).</t>
  </si>
  <si>
    <t>Для "Новых резервов" рекомендованный срок гашения 48 месяцев. Предлагаем сделать расчет сначала на этих условиях, если возникнут кассовые разрывы, то вам необходимо будет делать 2 формы ПДДС:
1-й ПДДС на 48 месяцев и заполняете еще строчку на листе  "Предпосылки"  строка "кредит (оборотный)" по столбцу Е  указываете сумму, которая покроет кассовые разрывы (с последующим заполнением всех остальных характеристик кредита);
2-й ПДДС вы готовите на основании первого, только в нем уже ставите количество месяцев для гашение другое, которое возможно без кассовых разрывов.</t>
  </si>
  <si>
    <t>Заявитель является социальным предприятием</t>
  </si>
  <si>
    <t>Обеспечение займа ввиде банковской гарантии (ВЭБ, МСП)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</si>
</sst>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₽&quot;;[Red]\-#,##0.00\ &quot;₽&quot;"/>
    <numFmt numFmtId="164" formatCode="0.0%"/>
    <numFmt numFmtId="165" formatCode="#,##0.00_ ;[Red]\-#,##0.00\ "/>
    <numFmt numFmtId="166" formatCode="#,##0_ ;[Red]\-#,##0\ "/>
    <numFmt numFmtId="167" formatCode="#,##0.0_ ;[Red]\-#,##0.0\ "/>
    <numFmt numFmtId="168" formatCode="#,##0.0"/>
  </numFmts>
  <fonts count="4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rgb="FF09233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rgb="FF092332"/>
      <name val="Calibri"/>
      <family val="2"/>
      <charset val="204"/>
      <scheme val="minor"/>
    </font>
    <font>
      <sz val="10"/>
      <color rgb="FF092332"/>
      <name val="Calibri"/>
      <family val="2"/>
      <charset val="204"/>
      <scheme val="minor"/>
    </font>
    <font>
      <sz val="11"/>
      <color rgb="FF092332"/>
      <name val="Calibri"/>
      <family val="2"/>
      <charset val="204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  <charset val="204"/>
      <scheme val="minor"/>
    </font>
    <font>
      <sz val="14"/>
      <color rgb="FF092332"/>
      <name val="Brutal Type"/>
      <family val="3"/>
    </font>
    <font>
      <b/>
      <sz val="24"/>
      <color theme="1"/>
      <name val="Calibri Light"/>
      <family val="2"/>
      <charset val="204"/>
      <scheme val="major"/>
    </font>
    <font>
      <b/>
      <sz val="16"/>
      <color theme="1" tint="0.14999847407452621"/>
      <name val="Calibri Light"/>
      <family val="2"/>
      <charset val="204"/>
      <scheme val="major"/>
    </font>
    <font>
      <b/>
      <sz val="10"/>
      <color theme="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2" tint="-0.499984740745262"/>
      <name val="Calibri Light"/>
      <family val="2"/>
      <charset val="204"/>
      <scheme val="major"/>
    </font>
    <font>
      <b/>
      <sz val="11"/>
      <color rgb="FFFF0000"/>
      <name val="Calibri"/>
      <family val="2"/>
      <charset val="204"/>
      <scheme val="minor"/>
    </font>
    <font>
      <sz val="14"/>
      <color theme="1"/>
      <name val="Wingdings 2"/>
      <family val="1"/>
      <charset val="2"/>
    </font>
    <font>
      <b/>
      <sz val="12"/>
      <color theme="1"/>
      <name val="Calibri Light"/>
      <family val="2"/>
      <charset val="204"/>
      <scheme val="major"/>
    </font>
    <font>
      <b/>
      <sz val="12"/>
      <color theme="1" tint="0.34998626667073579"/>
      <name val="Calibri Light"/>
      <family val="2"/>
      <charset val="204"/>
      <scheme val="maj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theme="1" tint="0.499984740745262"/>
      <name val="Calibri Light"/>
      <family val="2"/>
      <charset val="204"/>
      <scheme val="maj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color theme="0"/>
      <name val="Calibri Light"/>
      <family val="2"/>
      <charset val="204"/>
      <scheme val="major"/>
    </font>
    <font>
      <b/>
      <sz val="14"/>
      <color theme="0"/>
      <name val="Calibri"/>
      <family val="2"/>
      <charset val="204"/>
      <scheme val="minor"/>
    </font>
    <font>
      <b/>
      <sz val="16"/>
      <color theme="0"/>
      <name val="Calibri Light"/>
      <family val="2"/>
      <charset val="204"/>
      <scheme val="major"/>
    </font>
    <font>
      <b/>
      <sz val="10"/>
      <color theme="1"/>
      <name val="Calibri Light"/>
      <family val="2"/>
      <charset val="204"/>
      <scheme val="major"/>
    </font>
    <font>
      <sz val="8"/>
      <name val="Calibri"/>
      <family val="2"/>
      <charset val="204"/>
      <scheme val="minor"/>
    </font>
    <font>
      <b/>
      <sz val="24"/>
      <name val="Calibri Light"/>
      <family val="2"/>
      <charset val="204"/>
      <scheme val="maj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name val="Calibri Light"/>
      <family val="2"/>
      <charset val="204"/>
      <scheme val="major"/>
    </font>
    <font>
      <b/>
      <sz val="16"/>
      <color theme="1"/>
      <name val="Calibri Light"/>
      <family val="2"/>
      <charset val="204"/>
      <scheme val="major"/>
    </font>
    <font>
      <sz val="11"/>
      <color rgb="FFC0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11"/>
      <color rgb="FFC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6DD"/>
        <bgColor indexed="64"/>
      </patternFill>
    </fill>
    <fill>
      <patternFill patternType="solid">
        <fgColor rgb="FF2A2D4F"/>
        <bgColor indexed="64"/>
      </patternFill>
    </fill>
    <fill>
      <patternFill patternType="solid">
        <fgColor rgb="FFC8E6E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4" fillId="0" borderId="0"/>
    <xf numFmtId="0" fontId="30" fillId="0" borderId="0" applyNumberFormat="0" applyFill="0" applyBorder="0" applyAlignment="0" applyProtection="0"/>
    <xf numFmtId="0" fontId="32" fillId="0" borderId="0"/>
    <xf numFmtId="0" fontId="33" fillId="0" borderId="0"/>
    <xf numFmtId="0" fontId="2" fillId="7" borderId="9" applyNumberFormat="0" applyBorder="0" applyAlignment="0" applyProtection="0">
      <alignment horizontal="center" vertical="center" wrapText="1"/>
    </xf>
    <xf numFmtId="0" fontId="24" fillId="6" borderId="17" applyNumberFormat="0" applyBorder="0" applyAlignment="0" applyProtection="0">
      <alignment horizontal="center" vertical="top" wrapText="1"/>
    </xf>
    <xf numFmtId="164" fontId="24" fillId="8" borderId="13" applyNumberFormat="0" applyBorder="0" applyAlignment="0" applyProtection="0">
      <alignment horizontal="center" vertical="top" wrapText="1"/>
    </xf>
    <xf numFmtId="9" fontId="24" fillId="0" borderId="0" applyFont="0" applyFill="0" applyBorder="0" applyAlignment="0" applyProtection="0"/>
    <xf numFmtId="0" fontId="24" fillId="0" borderId="0"/>
  </cellStyleXfs>
  <cellXfs count="391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7" xfId="0" applyFill="1" applyBorder="1"/>
    <xf numFmtId="0" fontId="0" fillId="2" borderId="8" xfId="0" applyFill="1" applyBorder="1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right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/>
    <xf numFmtId="0" fontId="4" fillId="2" borderId="0" xfId="0" applyFont="1" applyFill="1"/>
    <xf numFmtId="0" fontId="0" fillId="2" borderId="0" xfId="0" applyFill="1" applyAlignment="1">
      <alignment vertical="top" wrapText="1"/>
    </xf>
    <xf numFmtId="0" fontId="15" fillId="2" borderId="0" xfId="0" applyFont="1" applyFill="1" applyAlignment="1" applyProtection="1">
      <alignment vertical="top"/>
      <protection hidden="1"/>
    </xf>
    <xf numFmtId="0" fontId="0" fillId="2" borderId="0" xfId="0" applyFill="1" applyAlignment="1" applyProtection="1">
      <alignment vertical="top" wrapText="1"/>
      <protection hidden="1"/>
    </xf>
    <xf numFmtId="0" fontId="0" fillId="2" borderId="0" xfId="0" applyFill="1" applyProtection="1"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Alignment="1">
      <alignment horizontal="right"/>
    </xf>
    <xf numFmtId="14" fontId="4" fillId="2" borderId="0" xfId="0" applyNumberFormat="1" applyFont="1" applyFill="1"/>
    <xf numFmtId="0" fontId="14" fillId="2" borderId="0" xfId="0" applyFont="1" applyFill="1" applyProtection="1">
      <protection hidden="1"/>
    </xf>
    <xf numFmtId="14" fontId="0" fillId="4" borderId="17" xfId="0" applyNumberFormat="1" applyFill="1" applyBorder="1" applyAlignment="1">
      <alignment horizontal="center" vertical="top" wrapText="1"/>
    </xf>
    <xf numFmtId="1" fontId="0" fillId="4" borderId="17" xfId="0" applyNumberFormat="1" applyFill="1" applyBorder="1" applyAlignment="1">
      <alignment horizontal="center" vertical="top" wrapText="1"/>
    </xf>
    <xf numFmtId="4" fontId="0" fillId="5" borderId="17" xfId="0" applyNumberFormat="1" applyFill="1" applyBorder="1" applyAlignment="1" applyProtection="1">
      <alignment horizontal="center" vertical="top" wrapText="1"/>
      <protection locked="0"/>
    </xf>
    <xf numFmtId="14" fontId="0" fillId="4" borderId="17" xfId="0" applyNumberFormat="1" applyFill="1" applyBorder="1" applyAlignment="1" applyProtection="1">
      <alignment horizontal="center" vertical="top" wrapText="1"/>
      <protection hidden="1"/>
    </xf>
    <xf numFmtId="0" fontId="0" fillId="5" borderId="17" xfId="0" applyFill="1" applyBorder="1" applyAlignment="1" applyProtection="1">
      <alignment horizontal="center" vertical="top" wrapText="1"/>
      <protection locked="0"/>
    </xf>
    <xf numFmtId="14" fontId="0" fillId="5" borderId="17" xfId="0" applyNumberFormat="1" applyFill="1" applyBorder="1" applyAlignment="1" applyProtection="1">
      <alignment horizontal="center" vertical="top" wrapText="1"/>
      <protection locked="0"/>
    </xf>
    <xf numFmtId="14" fontId="0" fillId="4" borderId="13" xfId="0" applyNumberFormat="1" applyFill="1" applyBorder="1" applyAlignment="1" applyProtection="1">
      <alignment horizontal="center" vertical="top" wrapText="1"/>
      <protection hidden="1"/>
    </xf>
    <xf numFmtId="0" fontId="21" fillId="2" borderId="17" xfId="0" applyFont="1" applyFill="1" applyBorder="1" applyAlignment="1">
      <alignment horizontal="center" vertical="center" wrapText="1"/>
    </xf>
    <xf numFmtId="9" fontId="0" fillId="5" borderId="17" xfId="0" applyNumberFormat="1" applyFill="1" applyBorder="1" applyAlignment="1" applyProtection="1">
      <alignment horizontal="center" vertical="top" wrapText="1"/>
      <protection locked="0"/>
    </xf>
    <xf numFmtId="4" fontId="0" fillId="4" borderId="13" xfId="0" applyNumberFormat="1" applyFill="1" applyBorder="1" applyAlignment="1" applyProtection="1">
      <alignment horizontal="center" vertical="top" wrapText="1"/>
      <protection hidden="1"/>
    </xf>
    <xf numFmtId="4" fontId="0" fillId="4" borderId="17" xfId="0" applyNumberFormat="1" applyFill="1" applyBorder="1" applyAlignment="1" applyProtection="1">
      <alignment horizontal="center" vertical="top" wrapText="1"/>
      <protection hidden="1"/>
    </xf>
    <xf numFmtId="0" fontId="0" fillId="2" borderId="17" xfId="0" applyFill="1" applyBorder="1" applyAlignment="1" applyProtection="1">
      <alignment vertical="top" wrapText="1"/>
      <protection hidden="1"/>
    </xf>
    <xf numFmtId="14" fontId="0" fillId="2" borderId="0" xfId="0" applyNumberFormat="1" applyFill="1"/>
    <xf numFmtId="0" fontId="15" fillId="2" borderId="0" xfId="0" applyFont="1" applyFill="1" applyAlignment="1">
      <alignment vertical="top"/>
    </xf>
    <xf numFmtId="0" fontId="0" fillId="2" borderId="17" xfId="0" applyFill="1" applyBorder="1" applyAlignment="1">
      <alignment vertical="top"/>
    </xf>
    <xf numFmtId="0" fontId="0" fillId="2" borderId="17" xfId="0" applyFill="1" applyBorder="1" applyAlignment="1">
      <alignment horizontal="left" vertical="center" wrapText="1"/>
    </xf>
    <xf numFmtId="0" fontId="20" fillId="2" borderId="0" xfId="0" applyFont="1" applyFill="1" applyProtection="1">
      <protection hidden="1"/>
    </xf>
    <xf numFmtId="0" fontId="0" fillId="2" borderId="0" xfId="0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7" xfId="0" applyFill="1" applyBorder="1" applyAlignment="1">
      <alignment vertical="top" wrapText="1"/>
    </xf>
    <xf numFmtId="0" fontId="5" fillId="2" borderId="0" xfId="0" applyFont="1" applyFill="1"/>
    <xf numFmtId="0" fontId="15" fillId="2" borderId="0" xfId="0" applyFont="1" applyFill="1" applyAlignment="1">
      <alignment horizontal="center" vertical="top"/>
    </xf>
    <xf numFmtId="0" fontId="2" fillId="3" borderId="18" xfId="0" applyFont="1" applyFill="1" applyBorder="1" applyAlignment="1" applyProtection="1">
      <alignment vertical="center" wrapText="1"/>
      <protection hidden="1"/>
    </xf>
    <xf numFmtId="3" fontId="0" fillId="2" borderId="18" xfId="0" applyNumberFormat="1" applyFill="1" applyBorder="1" applyAlignment="1" applyProtection="1">
      <alignment vertical="center" wrapText="1"/>
      <protection hidden="1"/>
    </xf>
    <xf numFmtId="164" fontId="5" fillId="2" borderId="0" xfId="0" applyNumberFormat="1" applyFont="1" applyFill="1"/>
    <xf numFmtId="14" fontId="0" fillId="2" borderId="17" xfId="0" applyNumberFormat="1" applyFill="1" applyBorder="1" applyAlignment="1" applyProtection="1">
      <alignment horizontal="center" vertical="center" wrapText="1"/>
      <protection hidden="1"/>
    </xf>
    <xf numFmtId="0" fontId="0" fillId="2" borderId="17" xfId="0" applyFill="1" applyBorder="1" applyAlignment="1" applyProtection="1">
      <alignment horizontal="center" vertical="center" wrapText="1"/>
      <protection hidden="1"/>
    </xf>
    <xf numFmtId="4" fontId="0" fillId="2" borderId="17" xfId="0" applyNumberFormat="1" applyFill="1" applyBorder="1" applyAlignment="1" applyProtection="1">
      <alignment horizontal="center" vertical="center" wrapText="1"/>
      <protection hidden="1"/>
    </xf>
    <xf numFmtId="0" fontId="0" fillId="4" borderId="17" xfId="0" applyFill="1" applyBorder="1"/>
    <xf numFmtId="4" fontId="0" fillId="4" borderId="17" xfId="0" applyNumberFormat="1" applyFill="1" applyBorder="1" applyAlignment="1" applyProtection="1">
      <alignment horizontal="center" vertical="center" wrapText="1"/>
      <protection hidden="1"/>
    </xf>
    <xf numFmtId="14" fontId="0" fillId="2" borderId="17" xfId="0" applyNumberFormat="1" applyFill="1" applyBorder="1" applyAlignment="1">
      <alignment vertical="top" wrapText="1"/>
    </xf>
    <xf numFmtId="0" fontId="1" fillId="2" borderId="17" xfId="0" applyFont="1" applyFill="1" applyBorder="1" applyAlignment="1">
      <alignment vertical="top"/>
    </xf>
    <xf numFmtId="0" fontId="21" fillId="2" borderId="17" xfId="0" applyFont="1" applyFill="1" applyBorder="1" applyAlignment="1">
      <alignment vertical="top" wrapText="1"/>
    </xf>
    <xf numFmtId="0" fontId="0" fillId="5" borderId="17" xfId="0" applyFill="1" applyBorder="1" applyAlignment="1" applyProtection="1">
      <alignment horizontal="center" vertical="top"/>
      <protection locked="0"/>
    </xf>
    <xf numFmtId="0" fontId="14" fillId="0" borderId="0" xfId="2" applyFont="1"/>
    <xf numFmtId="0" fontId="24" fillId="2" borderId="0" xfId="2" applyFill="1" applyAlignment="1">
      <alignment vertical="top" wrapText="1"/>
    </xf>
    <xf numFmtId="0" fontId="24" fillId="2" borderId="0" xfId="2" applyFill="1"/>
    <xf numFmtId="0" fontId="15" fillId="2" borderId="0" xfId="2" applyFont="1" applyFill="1" applyAlignment="1">
      <alignment vertical="top"/>
    </xf>
    <xf numFmtId="0" fontId="22" fillId="2" borderId="0" xfId="2" applyFont="1" applyFill="1" applyAlignment="1">
      <alignment vertical="top"/>
    </xf>
    <xf numFmtId="9" fontId="0" fillId="0" borderId="0" xfId="0" applyNumberFormat="1"/>
    <xf numFmtId="0" fontId="24" fillId="5" borderId="23" xfId="7" applyFill="1" applyBorder="1" applyAlignment="1" applyProtection="1">
      <alignment horizontal="left" vertical="center" wrapText="1"/>
      <protection locked="0"/>
    </xf>
    <xf numFmtId="0" fontId="24" fillId="5" borderId="23" xfId="7" applyFill="1" applyBorder="1" applyAlignment="1" applyProtection="1">
      <alignment horizontal="center" vertical="top" wrapText="1"/>
      <protection locked="0"/>
    </xf>
    <xf numFmtId="14" fontId="24" fillId="5" borderId="23" xfId="7" applyNumberFormat="1" applyFill="1" applyBorder="1" applyAlignment="1" applyProtection="1">
      <alignment horizontal="center" vertical="top" wrapText="1"/>
      <protection locked="0"/>
    </xf>
    <xf numFmtId="164" fontId="24" fillId="5" borderId="23" xfId="7" applyNumberFormat="1" applyFill="1" applyBorder="1" applyAlignment="1" applyProtection="1">
      <alignment horizontal="center" vertical="top" wrapText="1"/>
      <protection locked="0"/>
    </xf>
    <xf numFmtId="0" fontId="29" fillId="2" borderId="0" xfId="2" applyFont="1" applyFill="1" applyAlignment="1">
      <alignment vertical="top"/>
    </xf>
    <xf numFmtId="0" fontId="24" fillId="2" borderId="23" xfId="2" applyFill="1" applyBorder="1" applyAlignment="1" applyProtection="1">
      <alignment horizontal="center" vertical="center" wrapText="1"/>
      <protection hidden="1"/>
    </xf>
    <xf numFmtId="4" fontId="24" fillId="2" borderId="23" xfId="7" applyNumberFormat="1" applyFill="1" applyBorder="1" applyAlignment="1" applyProtection="1">
      <alignment horizontal="center" vertical="top" wrapText="1"/>
      <protection locked="0"/>
    </xf>
    <xf numFmtId="164" fontId="24" fillId="2" borderId="23" xfId="8" applyNumberFormat="1" applyFill="1" applyBorder="1" applyAlignment="1" applyProtection="1">
      <alignment horizontal="center" vertical="top" wrapText="1"/>
    </xf>
    <xf numFmtId="0" fontId="2" fillId="9" borderId="23" xfId="6" applyFill="1" applyBorder="1" applyAlignment="1" applyProtection="1">
      <alignment horizontal="center" vertical="center" wrapText="1"/>
      <protection hidden="1"/>
    </xf>
    <xf numFmtId="14" fontId="2" fillId="9" borderId="23" xfId="6" applyNumberFormat="1" applyFill="1" applyBorder="1" applyAlignment="1" applyProtection="1">
      <alignment horizontal="center" vertical="center" wrapText="1"/>
      <protection hidden="1"/>
    </xf>
    <xf numFmtId="0" fontId="2" fillId="9" borderId="23" xfId="6" applyFill="1" applyBorder="1" applyAlignment="1" applyProtection="1">
      <alignment horizontal="center" vertical="top" wrapText="1"/>
      <protection hidden="1"/>
    </xf>
    <xf numFmtId="14" fontId="2" fillId="9" borderId="23" xfId="6" applyNumberFormat="1" applyFill="1" applyBorder="1" applyAlignment="1" applyProtection="1">
      <alignment horizontal="center" vertical="top" wrapText="1"/>
      <protection hidden="1"/>
    </xf>
    <xf numFmtId="0" fontId="24" fillId="2" borderId="23" xfId="2" applyFill="1" applyBorder="1" applyAlignment="1" applyProtection="1">
      <alignment horizontal="left" vertical="center" wrapText="1"/>
      <protection hidden="1"/>
    </xf>
    <xf numFmtId="4" fontId="24" fillId="5" borderId="23" xfId="7" applyNumberFormat="1" applyFill="1" applyBorder="1" applyAlignment="1" applyProtection="1">
      <alignment horizontal="center" vertical="top" wrapText="1"/>
      <protection locked="0"/>
    </xf>
    <xf numFmtId="0" fontId="24" fillId="2" borderId="23" xfId="7" applyFill="1" applyBorder="1" applyAlignment="1" applyProtection="1">
      <alignment horizontal="left" vertical="center" wrapText="1"/>
      <protection locked="0"/>
    </xf>
    <xf numFmtId="0" fontId="24" fillId="2" borderId="23" xfId="7" applyFill="1" applyBorder="1" applyAlignment="1" applyProtection="1">
      <alignment horizontal="center" vertical="top" wrapText="1"/>
      <protection locked="0"/>
    </xf>
    <xf numFmtId="0" fontId="2" fillId="9" borderId="23" xfId="6" applyFill="1" applyBorder="1" applyAlignment="1">
      <alignment horizontal="center" vertical="center" wrapText="1"/>
    </xf>
    <xf numFmtId="0" fontId="2" fillId="9" borderId="23" xfId="6" applyFill="1" applyBorder="1" applyAlignment="1">
      <alignment horizontal="center" vertical="top" wrapText="1"/>
    </xf>
    <xf numFmtId="0" fontId="24" fillId="5" borderId="23" xfId="7" applyFill="1" applyBorder="1" applyAlignment="1" applyProtection="1">
      <alignment horizontal="center" vertical="top"/>
      <protection locked="0"/>
    </xf>
    <xf numFmtId="0" fontId="24" fillId="2" borderId="23" xfId="2" applyFill="1" applyBorder="1" applyAlignment="1" applyProtection="1">
      <alignment vertical="top" wrapText="1"/>
      <protection hidden="1"/>
    </xf>
    <xf numFmtId="0" fontId="24" fillId="2" borderId="23" xfId="2" applyFill="1" applyBorder="1" applyAlignment="1">
      <alignment horizontal="center" vertical="top"/>
    </xf>
    <xf numFmtId="0" fontId="24" fillId="2" borderId="23" xfId="2" applyFill="1" applyBorder="1" applyAlignment="1" applyProtection="1">
      <alignment vertical="center" wrapText="1"/>
      <protection hidden="1"/>
    </xf>
    <xf numFmtId="4" fontId="24" fillId="2" borderId="23" xfId="2" applyNumberFormat="1" applyFill="1" applyBorder="1" applyAlignment="1" applyProtection="1">
      <alignment horizontal="center" vertical="top" wrapText="1"/>
      <protection hidden="1"/>
    </xf>
    <xf numFmtId="9" fontId="24" fillId="5" borderId="23" xfId="1" applyFont="1" applyFill="1" applyBorder="1" applyAlignment="1" applyProtection="1">
      <alignment horizontal="center" vertical="top" wrapText="1"/>
      <protection locked="0"/>
    </xf>
    <xf numFmtId="0" fontId="24" fillId="2" borderId="23" xfId="7" applyNumberFormat="1" applyFill="1" applyBorder="1" applyAlignment="1" applyProtection="1">
      <alignment horizontal="center" vertical="center" wrapText="1"/>
      <protection locked="0"/>
    </xf>
    <xf numFmtId="0" fontId="24" fillId="2" borderId="23" xfId="7" applyNumberFormat="1" applyFill="1" applyBorder="1" applyAlignment="1" applyProtection="1">
      <alignment horizontal="left" vertical="center" wrapText="1"/>
      <protection locked="0"/>
    </xf>
    <xf numFmtId="0" fontId="2" fillId="9" borderId="23" xfId="0" applyFont="1" applyFill="1" applyBorder="1"/>
    <xf numFmtId="4" fontId="2" fillId="9" borderId="23" xfId="0" applyNumberFormat="1" applyFont="1" applyFill="1" applyBorder="1"/>
    <xf numFmtId="0" fontId="24" fillId="5" borderId="23" xfId="7" applyNumberFormat="1" applyFill="1" applyBorder="1" applyAlignment="1" applyProtection="1">
      <alignment horizontal="center" vertical="center" wrapText="1"/>
      <protection locked="0"/>
    </xf>
    <xf numFmtId="2" fontId="24" fillId="5" borderId="23" xfId="7" applyNumberFormat="1" applyFill="1" applyBorder="1" applyAlignment="1" applyProtection="1">
      <alignment horizontal="center" vertical="center" wrapText="1"/>
      <protection locked="0"/>
    </xf>
    <xf numFmtId="3" fontId="24" fillId="5" borderId="23" xfId="7" applyNumberFormat="1" applyFill="1" applyBorder="1" applyAlignment="1" applyProtection="1">
      <alignment horizontal="center" vertical="top" wrapText="1"/>
      <protection locked="0"/>
    </xf>
    <xf numFmtId="0" fontId="24" fillId="2" borderId="17" xfId="2" applyFill="1" applyBorder="1" applyAlignment="1">
      <alignment horizontal="left" vertical="center" wrapText="1"/>
    </xf>
    <xf numFmtId="0" fontId="2" fillId="9" borderId="17" xfId="6" applyFill="1" applyBorder="1" applyAlignment="1">
      <alignment horizontal="center" vertical="center" wrapText="1"/>
    </xf>
    <xf numFmtId="0" fontId="2" fillId="9" borderId="17" xfId="6" applyFill="1" applyBorder="1" applyAlignment="1" applyProtection="1">
      <alignment horizontal="center" vertical="center" wrapText="1"/>
      <protection hidden="1"/>
    </xf>
    <xf numFmtId="0" fontId="24" fillId="5" borderId="17" xfId="7" applyNumberFormat="1" applyFill="1" applyBorder="1" applyAlignment="1" applyProtection="1">
      <alignment horizontal="center" vertical="center" wrapText="1"/>
      <protection locked="0"/>
    </xf>
    <xf numFmtId="3" fontId="2" fillId="9" borderId="23" xfId="0" applyNumberFormat="1" applyFont="1" applyFill="1" applyBorder="1"/>
    <xf numFmtId="0" fontId="0" fillId="2" borderId="23" xfId="0" applyFill="1" applyBorder="1" applyAlignment="1">
      <alignment vertical="top"/>
    </xf>
    <xf numFmtId="9" fontId="24" fillId="2" borderId="23" xfId="1" applyFont="1" applyFill="1" applyBorder="1" applyAlignment="1" applyProtection="1">
      <alignment horizontal="center" vertical="top" wrapText="1"/>
      <protection locked="0"/>
    </xf>
    <xf numFmtId="4" fontId="0" fillId="2" borderId="23" xfId="0" applyNumberFormat="1" applyFill="1" applyBorder="1"/>
    <xf numFmtId="0" fontId="2" fillId="9" borderId="24" xfId="6" applyFill="1" applyBorder="1" applyAlignment="1">
      <alignment horizontal="center" vertical="top" wrapText="1"/>
    </xf>
    <xf numFmtId="0" fontId="24" fillId="2" borderId="17" xfId="2" applyFill="1" applyBorder="1" applyAlignment="1">
      <alignment horizontal="left" wrapText="1"/>
    </xf>
    <xf numFmtId="0" fontId="24" fillId="2" borderId="17" xfId="2" applyFill="1" applyBorder="1" applyAlignment="1">
      <alignment vertical="top" wrapText="1"/>
    </xf>
    <xf numFmtId="0" fontId="24" fillId="2" borderId="17" xfId="2" applyFill="1" applyBorder="1" applyAlignment="1" applyProtection="1">
      <alignment vertical="top" wrapText="1"/>
      <protection hidden="1"/>
    </xf>
    <xf numFmtId="0" fontId="24" fillId="2" borderId="17" xfId="2" applyFill="1" applyBorder="1" applyAlignment="1">
      <alignment horizontal="center" vertical="top" wrapText="1"/>
    </xf>
    <xf numFmtId="165" fontId="24" fillId="2" borderId="17" xfId="2" applyNumberFormat="1" applyFill="1" applyBorder="1" applyAlignment="1">
      <alignment horizontal="center" vertical="top" wrapText="1"/>
    </xf>
    <xf numFmtId="0" fontId="24" fillId="2" borderId="17" xfId="2" applyFill="1" applyBorder="1" applyAlignment="1">
      <alignment horizontal="left" vertical="top" wrapText="1"/>
    </xf>
    <xf numFmtId="0" fontId="14" fillId="2" borderId="0" xfId="2" applyFont="1" applyFill="1"/>
    <xf numFmtId="0" fontId="4" fillId="2" borderId="0" xfId="2" applyFont="1" applyFill="1"/>
    <xf numFmtId="0" fontId="23" fillId="2" borderId="0" xfId="2" applyFont="1" applyFill="1" applyAlignment="1">
      <alignment vertical="top"/>
    </xf>
    <xf numFmtId="0" fontId="19" fillId="2" borderId="0" xfId="2" applyFont="1" applyFill="1" applyAlignment="1">
      <alignment vertical="top"/>
    </xf>
    <xf numFmtId="0" fontId="24" fillId="2" borderId="12" xfId="2" applyFill="1" applyBorder="1" applyAlignment="1">
      <alignment vertical="top" wrapText="1"/>
    </xf>
    <xf numFmtId="165" fontId="24" fillId="2" borderId="17" xfId="8" applyNumberFormat="1" applyFill="1" applyBorder="1" applyAlignment="1" applyProtection="1">
      <alignment horizontal="center" vertical="top" wrapText="1"/>
    </xf>
    <xf numFmtId="0" fontId="24" fillId="2" borderId="17" xfId="8" applyNumberFormat="1" applyFill="1" applyBorder="1" applyAlignment="1" applyProtection="1">
      <alignment horizontal="left" vertical="top" wrapText="1"/>
    </xf>
    <xf numFmtId="0" fontId="24" fillId="2" borderId="17" xfId="8" applyNumberFormat="1" applyFill="1" applyBorder="1" applyAlignment="1" applyProtection="1">
      <alignment horizontal="center" vertical="top" wrapText="1"/>
    </xf>
    <xf numFmtId="165" fontId="18" fillId="2" borderId="17" xfId="7" applyNumberFormat="1" applyFont="1" applyFill="1" applyBorder="1" applyAlignment="1" applyProtection="1">
      <alignment horizontal="left" vertical="top" wrapText="1"/>
      <protection locked="0"/>
    </xf>
    <xf numFmtId="0" fontId="2" fillId="10" borderId="9" xfId="6" applyNumberFormat="1" applyFill="1" applyBorder="1" applyAlignment="1" applyProtection="1">
      <alignment horizontal="center" vertical="center" wrapText="1"/>
      <protection hidden="1"/>
    </xf>
    <xf numFmtId="0" fontId="25" fillId="10" borderId="17" xfId="8" applyNumberFormat="1" applyFont="1" applyFill="1" applyBorder="1" applyAlignment="1" applyProtection="1">
      <alignment horizontal="left" vertical="top" wrapText="1"/>
    </xf>
    <xf numFmtId="0" fontId="25" fillId="10" borderId="17" xfId="8" applyNumberFormat="1" applyFont="1" applyFill="1" applyBorder="1" applyAlignment="1" applyProtection="1">
      <alignment horizontal="center" vertical="top" wrapText="1"/>
    </xf>
    <xf numFmtId="165" fontId="25" fillId="10" borderId="17" xfId="8" applyNumberFormat="1" applyFont="1" applyFill="1" applyBorder="1" applyAlignment="1" applyProtection="1">
      <alignment horizontal="center" vertical="top" wrapText="1"/>
    </xf>
    <xf numFmtId="0" fontId="34" fillId="10" borderId="0" xfId="2" applyFont="1" applyFill="1" applyAlignment="1">
      <alignment vertical="top"/>
    </xf>
    <xf numFmtId="0" fontId="25" fillId="10" borderId="0" xfId="2" applyFont="1" applyFill="1"/>
    <xf numFmtId="0" fontId="36" fillId="10" borderId="0" xfId="2" applyFont="1" applyFill="1" applyAlignment="1">
      <alignment vertical="top"/>
    </xf>
    <xf numFmtId="0" fontId="25" fillId="10" borderId="0" xfId="2" applyFont="1" applyFill="1" applyAlignment="1">
      <alignment vertical="top" wrapText="1"/>
    </xf>
    <xf numFmtId="14" fontId="2" fillId="10" borderId="10" xfId="6" applyNumberFormat="1" applyFill="1" applyBorder="1" applyAlignment="1" applyProtection="1">
      <alignment horizontal="center" vertical="center" wrapText="1"/>
      <protection hidden="1"/>
    </xf>
    <xf numFmtId="0" fontId="21" fillId="2" borderId="0" xfId="2" applyFont="1" applyFill="1" applyAlignment="1">
      <alignment horizontal="center" vertical="center" wrapText="1"/>
    </xf>
    <xf numFmtId="0" fontId="20" fillId="2" borderId="0" xfId="2" applyFont="1" applyFill="1"/>
    <xf numFmtId="4" fontId="24" fillId="2" borderId="23" xfId="2" applyNumberFormat="1" applyFill="1" applyBorder="1" applyAlignment="1">
      <alignment horizontal="center" vertical="center" wrapText="1"/>
    </xf>
    <xf numFmtId="164" fontId="24" fillId="5" borderId="23" xfId="1" applyNumberFormat="1" applyFont="1" applyFill="1" applyBorder="1" applyAlignment="1" applyProtection="1">
      <alignment horizontal="center" vertical="top" wrapText="1"/>
      <protection locked="0"/>
    </xf>
    <xf numFmtId="164" fontId="24" fillId="5" borderId="17" xfId="7" applyNumberFormat="1" applyFill="1" applyBorder="1" applyAlignment="1" applyProtection="1">
      <alignment horizontal="center" vertical="center" wrapText="1"/>
      <protection locked="0"/>
    </xf>
    <xf numFmtId="14" fontId="2" fillId="9" borderId="17" xfId="6" applyNumberFormat="1" applyFill="1" applyBorder="1" applyAlignment="1" applyProtection="1">
      <alignment horizontal="center" vertical="center" wrapText="1"/>
      <protection hidden="1"/>
    </xf>
    <xf numFmtId="4" fontId="24" fillId="11" borderId="17" xfId="8" applyNumberFormat="1" applyFill="1" applyBorder="1" applyAlignment="1">
      <alignment vertical="top" wrapText="1"/>
    </xf>
    <xf numFmtId="165" fontId="24" fillId="11" borderId="17" xfId="8" applyNumberFormat="1" applyFill="1" applyBorder="1" applyAlignment="1" applyProtection="1">
      <alignment horizontal="center" vertical="top" wrapText="1"/>
    </xf>
    <xf numFmtId="0" fontId="37" fillId="2" borderId="0" xfId="2" applyFont="1" applyFill="1" applyAlignment="1">
      <alignment vertical="top"/>
    </xf>
    <xf numFmtId="14" fontId="2" fillId="10" borderId="23" xfId="6" applyNumberFormat="1" applyFill="1" applyBorder="1" applyAlignment="1" applyProtection="1">
      <alignment horizontal="center" vertical="center" wrapText="1"/>
      <protection hidden="1"/>
    </xf>
    <xf numFmtId="0" fontId="2" fillId="10" borderId="23" xfId="6" applyNumberFormat="1" applyFill="1" applyBorder="1" applyAlignment="1" applyProtection="1">
      <alignment horizontal="center" vertical="center" wrapText="1"/>
      <protection hidden="1"/>
    </xf>
    <xf numFmtId="0" fontId="24" fillId="2" borderId="23" xfId="2" applyFill="1" applyBorder="1" applyAlignment="1">
      <alignment vertical="top" wrapText="1"/>
    </xf>
    <xf numFmtId="0" fontId="24" fillId="2" borderId="23" xfId="2" applyFill="1" applyBorder="1" applyAlignment="1">
      <alignment horizontal="center" vertical="top" wrapText="1"/>
    </xf>
    <xf numFmtId="165" fontId="24" fillId="2" borderId="23" xfId="2" applyNumberFormat="1" applyFill="1" applyBorder="1" applyAlignment="1">
      <alignment horizontal="center" vertical="top" wrapText="1"/>
    </xf>
    <xf numFmtId="14" fontId="24" fillId="2" borderId="23" xfId="2" applyNumberFormat="1" applyFill="1" applyBorder="1" applyAlignment="1">
      <alignment horizontal="center" vertical="top" wrapText="1"/>
    </xf>
    <xf numFmtId="0" fontId="2" fillId="9" borderId="23" xfId="2" applyFont="1" applyFill="1" applyBorder="1" applyAlignment="1" applyProtection="1">
      <alignment vertical="center" wrapText="1"/>
      <protection hidden="1"/>
    </xf>
    <xf numFmtId="0" fontId="2" fillId="9" borderId="23" xfId="2" applyFont="1" applyFill="1" applyBorder="1" applyAlignment="1" applyProtection="1">
      <alignment horizontal="center" vertical="center" wrapText="1"/>
      <protection hidden="1"/>
    </xf>
    <xf numFmtId="0" fontId="15" fillId="2" borderId="17" xfId="2" applyFont="1" applyFill="1" applyBorder="1" applyAlignment="1">
      <alignment vertical="top"/>
    </xf>
    <xf numFmtId="14" fontId="2" fillId="9" borderId="24" xfId="6" applyNumberFormat="1" applyFill="1" applyBorder="1" applyAlignment="1" applyProtection="1">
      <alignment horizontal="center" vertical="center" wrapText="1"/>
      <protection hidden="1"/>
    </xf>
    <xf numFmtId="0" fontId="0" fillId="2" borderId="23" xfId="0" applyFill="1" applyBorder="1"/>
    <xf numFmtId="0" fontId="39" fillId="2" borderId="0" xfId="0" applyFont="1" applyFill="1"/>
    <xf numFmtId="0" fontId="40" fillId="2" borderId="0" xfId="0" applyFont="1" applyFill="1"/>
    <xf numFmtId="0" fontId="41" fillId="2" borderId="0" xfId="0" applyFont="1" applyFill="1" applyAlignment="1">
      <alignment vertical="top" wrapText="1"/>
    </xf>
    <xf numFmtId="0" fontId="42" fillId="2" borderId="0" xfId="0" applyFont="1" applyFill="1" applyAlignment="1" applyProtection="1">
      <alignment vertical="top"/>
      <protection hidden="1"/>
    </xf>
    <xf numFmtId="0" fontId="41" fillId="2" borderId="0" xfId="0" applyFont="1" applyFill="1" applyAlignment="1" applyProtection="1">
      <alignment vertical="top" wrapText="1"/>
      <protection hidden="1"/>
    </xf>
    <xf numFmtId="0" fontId="41" fillId="2" borderId="0" xfId="0" applyFont="1" applyFill="1"/>
    <xf numFmtId="0" fontId="41" fillId="2" borderId="0" xfId="0" applyFont="1" applyFill="1" applyProtection="1">
      <protection hidden="1"/>
    </xf>
    <xf numFmtId="0" fontId="40" fillId="2" borderId="23" xfId="0" applyFont="1" applyFill="1" applyBorder="1" applyAlignment="1" applyProtection="1">
      <alignment horizontal="left" vertical="center" wrapText="1"/>
      <protection hidden="1"/>
    </xf>
    <xf numFmtId="4" fontId="41" fillId="2" borderId="23" xfId="0" applyNumberFormat="1" applyFont="1" applyFill="1" applyBorder="1" applyAlignment="1" applyProtection="1">
      <alignment horizontal="center" vertical="center" wrapText="1"/>
      <protection hidden="1"/>
    </xf>
    <xf numFmtId="3" fontId="41" fillId="2" borderId="23" xfId="0" applyNumberFormat="1" applyFont="1" applyFill="1" applyBorder="1" applyAlignment="1" applyProtection="1">
      <alignment horizontal="center" vertical="center" wrapText="1"/>
      <protection hidden="1"/>
    </xf>
    <xf numFmtId="164" fontId="41" fillId="2" borderId="23" xfId="0" applyNumberFormat="1" applyFont="1" applyFill="1" applyBorder="1" applyAlignment="1" applyProtection="1">
      <alignment horizontal="center" vertical="center" wrapText="1"/>
      <protection hidden="1"/>
    </xf>
    <xf numFmtId="3" fontId="41" fillId="2" borderId="23" xfId="0" applyNumberFormat="1" applyFont="1" applyFill="1" applyBorder="1" applyAlignment="1" applyProtection="1">
      <alignment horizontal="left" vertical="center" wrapText="1"/>
      <protection hidden="1"/>
    </xf>
    <xf numFmtId="0" fontId="2" fillId="9" borderId="23" xfId="0" applyFont="1" applyFill="1" applyBorder="1" applyAlignment="1" applyProtection="1">
      <alignment horizontal="center" vertical="top" wrapText="1"/>
      <protection hidden="1"/>
    </xf>
    <xf numFmtId="0" fontId="40" fillId="2" borderId="23" xfId="0" applyFont="1" applyFill="1" applyBorder="1" applyAlignment="1" applyProtection="1">
      <alignment vertical="top" wrapText="1"/>
      <protection hidden="1"/>
    </xf>
    <xf numFmtId="3" fontId="41" fillId="2" borderId="23" xfId="0" applyNumberFormat="1" applyFont="1" applyFill="1" applyBorder="1" applyAlignment="1" applyProtection="1">
      <alignment vertical="top" wrapText="1"/>
      <protection hidden="1"/>
    </xf>
    <xf numFmtId="164" fontId="41" fillId="2" borderId="23" xfId="0" applyNumberFormat="1" applyFont="1" applyFill="1" applyBorder="1" applyAlignment="1" applyProtection="1">
      <alignment horizontal="center" vertical="top" wrapText="1"/>
      <protection hidden="1"/>
    </xf>
    <xf numFmtId="0" fontId="2" fillId="9" borderId="24" xfId="0" applyFont="1" applyFill="1" applyBorder="1" applyAlignment="1" applyProtection="1">
      <alignment horizontal="center" vertical="top" wrapText="1"/>
      <protection hidden="1"/>
    </xf>
    <xf numFmtId="0" fontId="0" fillId="0" borderId="23" xfId="0" applyBorder="1" applyAlignment="1">
      <alignment vertical="top" wrapText="1"/>
    </xf>
    <xf numFmtId="0" fontId="0" fillId="2" borderId="23" xfId="0" applyFill="1" applyBorder="1" applyAlignment="1">
      <alignment vertical="top" wrapText="1"/>
    </xf>
    <xf numFmtId="164" fontId="0" fillId="2" borderId="23" xfId="0" applyNumberFormat="1" applyFill="1" applyBorder="1" applyAlignment="1" applyProtection="1">
      <alignment horizontal="center" vertical="top" wrapText="1"/>
      <protection hidden="1"/>
    </xf>
    <xf numFmtId="0" fontId="0" fillId="2" borderId="23" xfId="0" applyFill="1" applyBorder="1" applyAlignment="1">
      <alignment horizontal="center" vertical="top"/>
    </xf>
    <xf numFmtId="9" fontId="0" fillId="2" borderId="23" xfId="0" applyNumberFormat="1" applyFill="1" applyBorder="1" applyAlignment="1">
      <alignment horizontal="center" vertical="top"/>
    </xf>
    <xf numFmtId="0" fontId="2" fillId="9" borderId="18" xfId="0" applyFont="1" applyFill="1" applyBorder="1" applyAlignment="1" applyProtection="1">
      <alignment horizontal="center" vertical="center" wrapText="1"/>
      <protection hidden="1"/>
    </xf>
    <xf numFmtId="10" fontId="24" fillId="5" borderId="23" xfId="7" applyNumberFormat="1" applyFill="1" applyBorder="1" applyAlignment="1" applyProtection="1">
      <alignment horizontal="center" vertical="top" wrapText="1"/>
      <protection locked="0"/>
    </xf>
    <xf numFmtId="0" fontId="2" fillId="9" borderId="23" xfId="0" applyFont="1" applyFill="1" applyBorder="1" applyAlignment="1">
      <alignment horizontal="center" vertical="top"/>
    </xf>
    <xf numFmtId="9" fontId="0" fillId="2" borderId="0" xfId="1" applyFont="1" applyFill="1"/>
    <xf numFmtId="9" fontId="0" fillId="2" borderId="23" xfId="1" applyFont="1" applyFill="1" applyBorder="1"/>
    <xf numFmtId="0" fontId="2" fillId="9" borderId="23" xfId="0" applyFont="1" applyFill="1" applyBorder="1" applyAlignment="1">
      <alignment vertical="top" wrapText="1"/>
    </xf>
    <xf numFmtId="9" fontId="2" fillId="9" borderId="23" xfId="1" applyFont="1" applyFill="1" applyBorder="1"/>
    <xf numFmtId="0" fontId="21" fillId="2" borderId="17" xfId="0" applyFont="1" applyFill="1" applyBorder="1" applyAlignment="1" applyProtection="1">
      <alignment horizontal="center" vertical="center" wrapText="1"/>
      <protection hidden="1"/>
    </xf>
    <xf numFmtId="0" fontId="21" fillId="2" borderId="13" xfId="0" applyFont="1" applyFill="1" applyBorder="1" applyAlignment="1">
      <alignment horizontal="center" vertical="center" wrapText="1"/>
    </xf>
    <xf numFmtId="9" fontId="24" fillId="5" borderId="23" xfId="1" applyFont="1" applyFill="1" applyBorder="1" applyAlignment="1" applyProtection="1">
      <alignment horizontal="center" vertical="top"/>
      <protection locked="0"/>
    </xf>
    <xf numFmtId="0" fontId="2" fillId="9" borderId="23" xfId="0" applyFont="1" applyFill="1" applyBorder="1" applyAlignment="1">
      <alignment horizontal="center"/>
    </xf>
    <xf numFmtId="0" fontId="4" fillId="2" borderId="23" xfId="2" applyFont="1" applyFill="1" applyBorder="1" applyAlignment="1" applyProtection="1">
      <alignment horizontal="left" vertical="center" wrapText="1"/>
      <protection hidden="1"/>
    </xf>
    <xf numFmtId="4" fontId="4" fillId="2" borderId="23" xfId="2" applyNumberFormat="1" applyFont="1" applyFill="1" applyBorder="1" applyAlignment="1">
      <alignment horizontal="center" vertical="center" wrapText="1"/>
    </xf>
    <xf numFmtId="0" fontId="0" fillId="0" borderId="23" xfId="0" applyBorder="1"/>
    <xf numFmtId="0" fontId="24" fillId="0" borderId="23" xfId="7" applyFill="1" applyBorder="1" applyAlignment="1" applyProtection="1">
      <alignment horizontal="center" vertical="top" wrapText="1"/>
      <protection locked="0"/>
    </xf>
    <xf numFmtId="0" fontId="24" fillId="0" borderId="23" xfId="7" applyFill="1" applyBorder="1" applyAlignment="1" applyProtection="1">
      <alignment horizontal="left" vertical="center" wrapText="1"/>
      <protection locked="0"/>
    </xf>
    <xf numFmtId="0" fontId="24" fillId="0" borderId="23" xfId="7" applyNumberFormat="1" applyFill="1" applyBorder="1" applyAlignment="1" applyProtection="1">
      <alignment horizontal="center" vertical="center" wrapText="1"/>
      <protection locked="0"/>
    </xf>
    <xf numFmtId="9" fontId="24" fillId="0" borderId="23" xfId="1" applyFont="1" applyFill="1" applyBorder="1" applyAlignment="1" applyProtection="1">
      <alignment horizontal="center" vertical="top" wrapText="1"/>
      <protection locked="0"/>
    </xf>
    <xf numFmtId="9" fontId="0" fillId="5" borderId="23" xfId="1" applyFont="1" applyFill="1" applyBorder="1" applyAlignment="1">
      <alignment horizontal="center"/>
    </xf>
    <xf numFmtId="0" fontId="2" fillId="9" borderId="23" xfId="2" applyFont="1" applyFill="1" applyBorder="1" applyAlignment="1" applyProtection="1">
      <alignment horizontal="left" vertical="center" wrapText="1"/>
      <protection hidden="1"/>
    </xf>
    <xf numFmtId="4" fontId="2" fillId="9" borderId="23" xfId="2" applyNumberFormat="1" applyFont="1" applyFill="1" applyBorder="1" applyAlignment="1" applyProtection="1">
      <alignment horizontal="center" vertical="top" wrapText="1"/>
      <protection hidden="1"/>
    </xf>
    <xf numFmtId="4" fontId="2" fillId="9" borderId="23" xfId="0" applyNumberFormat="1" applyFont="1" applyFill="1" applyBorder="1" applyAlignment="1">
      <alignment horizontal="center" vertical="top"/>
    </xf>
    <xf numFmtId="0" fontId="2" fillId="9" borderId="23" xfId="7" applyFont="1" applyFill="1" applyBorder="1" applyAlignment="1" applyProtection="1">
      <alignment horizontal="left" vertical="center" wrapText="1"/>
      <protection locked="0"/>
    </xf>
    <xf numFmtId="0" fontId="2" fillId="9" borderId="23" xfId="7" applyNumberFormat="1" applyFont="1" applyFill="1" applyBorder="1" applyAlignment="1" applyProtection="1">
      <alignment horizontal="center" vertical="center" wrapText="1"/>
      <protection locked="0"/>
    </xf>
    <xf numFmtId="4" fontId="2" fillId="9" borderId="23" xfId="8" applyNumberFormat="1" applyFont="1" applyFill="1" applyBorder="1" applyAlignment="1" applyProtection="1">
      <alignment horizontal="center" vertical="top" wrapText="1"/>
    </xf>
    <xf numFmtId="164" fontId="2" fillId="9" borderId="23" xfId="2" applyNumberFormat="1" applyFont="1" applyFill="1" applyBorder="1" applyAlignment="1">
      <alignment horizontal="center" vertical="center" wrapText="1"/>
    </xf>
    <xf numFmtId="4" fontId="2" fillId="9" borderId="23" xfId="8" applyNumberFormat="1" applyFont="1" applyFill="1" applyBorder="1" applyAlignment="1">
      <alignment vertical="top" wrapText="1"/>
    </xf>
    <xf numFmtId="0" fontId="1" fillId="2" borderId="23" xfId="2" applyFont="1" applyFill="1" applyBorder="1" applyAlignment="1" applyProtection="1">
      <alignment horizontal="left" vertical="center" wrapText="1"/>
      <protection hidden="1"/>
    </xf>
    <xf numFmtId="165" fontId="24" fillId="5" borderId="17" xfId="7" applyNumberFormat="1" applyFill="1" applyBorder="1" applyAlignment="1" applyProtection="1">
      <alignment horizontal="center" vertical="center" wrapText="1"/>
      <protection locked="0"/>
    </xf>
    <xf numFmtId="0" fontId="24" fillId="2" borderId="0" xfId="2" applyFill="1" applyAlignment="1">
      <alignment horizontal="center" vertical="top" wrapText="1"/>
    </xf>
    <xf numFmtId="165" fontId="24" fillId="2" borderId="0" xfId="2" applyNumberFormat="1" applyFill="1" applyAlignment="1">
      <alignment horizontal="center" vertical="top" wrapText="1"/>
    </xf>
    <xf numFmtId="10" fontId="24" fillId="2" borderId="23" xfId="2" applyNumberFormat="1" applyFill="1" applyBorder="1" applyAlignment="1">
      <alignment horizontal="center" vertical="top" wrapText="1"/>
    </xf>
    <xf numFmtId="0" fontId="4" fillId="2" borderId="0" xfId="0" applyFont="1" applyFill="1" applyProtection="1">
      <protection hidden="1"/>
    </xf>
    <xf numFmtId="0" fontId="24" fillId="12" borderId="17" xfId="2" applyFill="1" applyBorder="1" applyAlignment="1">
      <alignment horizontal="left" vertical="top" wrapText="1" indent="2"/>
    </xf>
    <xf numFmtId="0" fontId="24" fillId="12" borderId="17" xfId="2" applyFill="1" applyBorder="1" applyAlignment="1">
      <alignment horizontal="center" vertical="top" wrapText="1"/>
    </xf>
    <xf numFmtId="165" fontId="24" fillId="12" borderId="17" xfId="8" applyNumberFormat="1" applyFill="1" applyBorder="1" applyAlignment="1" applyProtection="1">
      <alignment horizontal="center" vertical="top" wrapText="1"/>
    </xf>
    <xf numFmtId="4" fontId="0" fillId="2" borderId="0" xfId="0" applyNumberFormat="1" applyFill="1"/>
    <xf numFmtId="0" fontId="24" fillId="12" borderId="17" xfId="2" applyFill="1" applyBorder="1" applyAlignment="1">
      <alignment vertical="top" wrapText="1"/>
    </xf>
    <xf numFmtId="4" fontId="4" fillId="0" borderId="23" xfId="2" applyNumberFormat="1" applyFont="1" applyBorder="1" applyAlignment="1">
      <alignment horizontal="center" vertical="center" wrapText="1"/>
    </xf>
    <xf numFmtId="4" fontId="1" fillId="0" borderId="23" xfId="2" applyNumberFormat="1" applyFont="1" applyBorder="1" applyAlignment="1">
      <alignment horizontal="center" vertical="center" wrapText="1"/>
    </xf>
    <xf numFmtId="4" fontId="24" fillId="0" borderId="23" xfId="2" applyNumberFormat="1" applyBorder="1" applyAlignment="1">
      <alignment horizontal="center" vertical="center" wrapText="1"/>
    </xf>
    <xf numFmtId="0" fontId="0" fillId="2" borderId="0" xfId="0" applyFill="1" applyAlignment="1">
      <alignment horizontal="center" vertical="top" wrapText="1"/>
    </xf>
    <xf numFmtId="9" fontId="0" fillId="2" borderId="0" xfId="0" applyNumberFormat="1" applyFill="1"/>
    <xf numFmtId="0" fontId="2" fillId="9" borderId="25" xfId="6" applyFill="1" applyBorder="1" applyAlignment="1">
      <alignment horizontal="center" vertical="top" wrapText="1"/>
    </xf>
    <xf numFmtId="0" fontId="2" fillId="9" borderId="0" xfId="6" applyFill="1" applyBorder="1" applyAlignment="1">
      <alignment horizontal="center" vertical="top" wrapText="1"/>
    </xf>
    <xf numFmtId="4" fontId="25" fillId="10" borderId="17" xfId="8" applyNumberFormat="1" applyFont="1" applyFill="1" applyBorder="1" applyAlignment="1" applyProtection="1">
      <alignment horizontal="center" vertical="top" wrapText="1"/>
    </xf>
    <xf numFmtId="0" fontId="24" fillId="2" borderId="0" xfId="2" applyFill="1" applyAlignment="1">
      <alignment vertical="center"/>
    </xf>
    <xf numFmtId="3" fontId="24" fillId="2" borderId="0" xfId="2" applyNumberFormat="1" applyFill="1" applyAlignment="1">
      <alignment horizontal="center" vertical="center"/>
    </xf>
    <xf numFmtId="166" fontId="24" fillId="2" borderId="0" xfId="2" applyNumberFormat="1" applyFill="1" applyAlignment="1">
      <alignment horizontal="center" vertical="center"/>
    </xf>
    <xf numFmtId="0" fontId="2" fillId="9" borderId="26" xfId="6" applyFill="1" applyBorder="1" applyAlignment="1" applyProtection="1">
      <alignment horizontal="center" vertical="center" wrapText="1"/>
      <protection hidden="1"/>
    </xf>
    <xf numFmtId="167" fontId="24" fillId="2" borderId="17" xfId="8" applyNumberFormat="1" applyFill="1" applyBorder="1" applyAlignment="1" applyProtection="1">
      <alignment horizontal="center" vertical="top" wrapText="1"/>
    </xf>
    <xf numFmtId="167" fontId="24" fillId="2" borderId="17" xfId="2" applyNumberFormat="1" applyFill="1" applyBorder="1" applyAlignment="1">
      <alignment horizontal="center" vertical="top" wrapText="1"/>
    </xf>
    <xf numFmtId="167" fontId="24" fillId="12" borderId="17" xfId="8" applyNumberFormat="1" applyFill="1" applyBorder="1" applyAlignment="1" applyProtection="1">
      <alignment horizontal="center" vertical="top" wrapText="1"/>
    </xf>
    <xf numFmtId="167" fontId="24" fillId="12" borderId="17" xfId="2" applyNumberFormat="1" applyFill="1" applyBorder="1" applyAlignment="1">
      <alignment horizontal="center" vertical="top" wrapText="1"/>
    </xf>
    <xf numFmtId="167" fontId="26" fillId="10" borderId="17" xfId="8" applyNumberFormat="1" applyFont="1" applyFill="1" applyBorder="1" applyAlignment="1" applyProtection="1">
      <alignment horizontal="center" vertical="top" wrapText="1"/>
    </xf>
    <xf numFmtId="168" fontId="26" fillId="10" borderId="17" xfId="8" applyNumberFormat="1" applyFont="1" applyFill="1" applyBorder="1" applyAlignment="1" applyProtection="1">
      <alignment horizontal="center" vertical="top" wrapText="1"/>
    </xf>
    <xf numFmtId="0" fontId="24" fillId="2" borderId="0" xfId="8" applyNumberFormat="1" applyFill="1" applyBorder="1" applyAlignment="1" applyProtection="1">
      <alignment horizontal="left" vertical="top" wrapText="1"/>
    </xf>
    <xf numFmtId="0" fontId="24" fillId="2" borderId="0" xfId="8" applyNumberFormat="1" applyFill="1" applyBorder="1" applyAlignment="1" applyProtection="1">
      <alignment horizontal="center" vertical="top" wrapText="1"/>
    </xf>
    <xf numFmtId="167" fontId="24" fillId="2" borderId="0" xfId="2" applyNumberFormat="1" applyFill="1"/>
    <xf numFmtId="167" fontId="24" fillId="2" borderId="0" xfId="2" applyNumberFormat="1" applyFill="1" applyAlignment="1">
      <alignment vertical="top" wrapText="1"/>
    </xf>
    <xf numFmtId="168" fontId="24" fillId="2" borderId="0" xfId="2" applyNumberFormat="1" applyFill="1"/>
    <xf numFmtId="168" fontId="24" fillId="2" borderId="17" xfId="2" applyNumberFormat="1" applyFill="1" applyBorder="1" applyAlignment="1">
      <alignment horizontal="center" vertical="top" wrapText="1"/>
    </xf>
    <xf numFmtId="168" fontId="24" fillId="2" borderId="17" xfId="8" applyNumberFormat="1" applyFill="1" applyBorder="1" applyAlignment="1" applyProtection="1">
      <alignment horizontal="center" vertical="top" wrapText="1"/>
    </xf>
    <xf numFmtId="168" fontId="24" fillId="5" borderId="17" xfId="7" applyNumberFormat="1" applyFill="1" applyBorder="1" applyAlignment="1" applyProtection="1">
      <alignment horizontal="center" vertical="top" wrapText="1"/>
      <protection locked="0"/>
    </xf>
    <xf numFmtId="168" fontId="24" fillId="2" borderId="12" xfId="2" applyNumberFormat="1" applyFill="1" applyBorder="1" applyAlignment="1">
      <alignment vertical="top" wrapText="1"/>
    </xf>
    <xf numFmtId="168" fontId="24" fillId="2" borderId="0" xfId="2" applyNumberFormat="1" applyFill="1" applyAlignment="1">
      <alignment vertical="top" wrapText="1"/>
    </xf>
    <xf numFmtId="168" fontId="36" fillId="10" borderId="0" xfId="2" applyNumberFormat="1" applyFont="1" applyFill="1" applyAlignment="1">
      <alignment vertical="top"/>
    </xf>
    <xf numFmtId="168" fontId="25" fillId="10" borderId="0" xfId="2" applyNumberFormat="1" applyFont="1" applyFill="1" applyAlignment="1">
      <alignment vertical="top" wrapText="1"/>
    </xf>
    <xf numFmtId="168" fontId="25" fillId="10" borderId="17" xfId="8" applyNumberFormat="1" applyFont="1" applyFill="1" applyBorder="1" applyAlignment="1" applyProtection="1">
      <alignment horizontal="center" vertical="top" wrapText="1"/>
    </xf>
    <xf numFmtId="4" fontId="24" fillId="2" borderId="0" xfId="2" applyNumberFormat="1" applyFill="1"/>
    <xf numFmtId="166" fontId="24" fillId="2" borderId="0" xfId="8" applyNumberFormat="1" applyFill="1" applyBorder="1" applyAlignment="1" applyProtection="1">
      <alignment horizontal="center" vertical="center"/>
    </xf>
    <xf numFmtId="0" fontId="43" fillId="2" borderId="0" xfId="2" applyFont="1" applyFill="1" applyAlignment="1">
      <alignment vertical="top"/>
    </xf>
    <xf numFmtId="0" fontId="24" fillId="2" borderId="23" xfId="2" applyFill="1" applyBorder="1" applyAlignment="1">
      <alignment vertical="center"/>
    </xf>
    <xf numFmtId="0" fontId="24" fillId="2" borderId="23" xfId="2" applyFill="1" applyBorder="1"/>
    <xf numFmtId="3" fontId="24" fillId="2" borderId="23" xfId="2" applyNumberFormat="1" applyFill="1" applyBorder="1" applyAlignment="1">
      <alignment horizontal="center" vertical="center"/>
    </xf>
    <xf numFmtId="166" fontId="24" fillId="2" borderId="23" xfId="8" applyNumberFormat="1" applyFill="1" applyBorder="1" applyAlignment="1" applyProtection="1">
      <alignment horizontal="center" vertical="center"/>
    </xf>
    <xf numFmtId="166" fontId="24" fillId="2" borderId="23" xfId="2" applyNumberFormat="1" applyFill="1" applyBorder="1" applyAlignment="1">
      <alignment horizontal="center" vertical="center"/>
    </xf>
    <xf numFmtId="0" fontId="24" fillId="2" borderId="23" xfId="8" applyNumberFormat="1" applyFill="1" applyBorder="1" applyAlignment="1" applyProtection="1">
      <alignment vertical="center"/>
    </xf>
    <xf numFmtId="3" fontId="24" fillId="2" borderId="23" xfId="8" applyNumberFormat="1" applyFill="1" applyBorder="1" applyAlignment="1" applyProtection="1">
      <alignment horizontal="center" vertical="center"/>
    </xf>
    <xf numFmtId="0" fontId="2" fillId="9" borderId="23" xfId="6" applyNumberFormat="1" applyFill="1" applyBorder="1" applyAlignment="1" applyProtection="1">
      <alignment horizontal="center" vertical="top"/>
    </xf>
    <xf numFmtId="0" fontId="2" fillId="9" borderId="23" xfId="6" applyNumberFormat="1" applyFill="1" applyBorder="1" applyAlignment="1" applyProtection="1">
      <alignment horizontal="center" vertical="top" wrapText="1"/>
    </xf>
    <xf numFmtId="0" fontId="24" fillId="2" borderId="23" xfId="2" applyFill="1" applyBorder="1" applyAlignment="1">
      <alignment horizontal="center" vertical="center"/>
    </xf>
    <xf numFmtId="164" fontId="24" fillId="2" borderId="23" xfId="2" applyNumberFormat="1" applyFill="1" applyBorder="1" applyAlignment="1">
      <alignment horizontal="center" vertical="center"/>
    </xf>
    <xf numFmtId="165" fontId="24" fillId="2" borderId="23" xfId="2" applyNumberFormat="1" applyFill="1" applyBorder="1" applyAlignment="1">
      <alignment horizontal="center" vertical="center"/>
    </xf>
    <xf numFmtId="164" fontId="24" fillId="2" borderId="23" xfId="8" applyNumberFormat="1" applyFill="1" applyBorder="1" applyAlignment="1" applyProtection="1">
      <alignment horizontal="center" vertical="center"/>
    </xf>
    <xf numFmtId="0" fontId="4" fillId="2" borderId="23" xfId="8" applyNumberFormat="1" applyFont="1" applyFill="1" applyBorder="1" applyAlignment="1" applyProtection="1">
      <alignment vertical="center"/>
    </xf>
    <xf numFmtId="3" fontId="4" fillId="2" borderId="23" xfId="8" applyNumberFormat="1" applyFont="1" applyFill="1" applyBorder="1" applyAlignment="1" applyProtection="1">
      <alignment horizontal="center" vertical="center"/>
    </xf>
    <xf numFmtId="164" fontId="4" fillId="2" borderId="23" xfId="8" applyNumberFormat="1" applyFont="1" applyFill="1" applyBorder="1" applyAlignment="1" applyProtection="1">
      <alignment horizontal="center" vertical="center"/>
    </xf>
    <xf numFmtId="0" fontId="24" fillId="13" borderId="23" xfId="2" applyFill="1" applyBorder="1" applyAlignment="1">
      <alignment horizontal="center" vertical="top" wrapText="1"/>
    </xf>
    <xf numFmtId="14" fontId="24" fillId="2" borderId="23" xfId="2" applyNumberFormat="1" applyFill="1" applyBorder="1" applyAlignment="1">
      <alignment horizontal="center" vertical="top"/>
    </xf>
    <xf numFmtId="0" fontId="2" fillId="9" borderId="23" xfId="6" applyNumberFormat="1" applyFill="1" applyBorder="1" applyAlignment="1">
      <alignment horizontal="center" vertical="top" wrapText="1"/>
    </xf>
    <xf numFmtId="9" fontId="4" fillId="2" borderId="23" xfId="2" applyNumberFormat="1" applyFont="1" applyFill="1" applyBorder="1" applyAlignment="1">
      <alignment horizontal="center" vertical="top"/>
    </xf>
    <xf numFmtId="1" fontId="24" fillId="2" borderId="23" xfId="2" applyNumberFormat="1" applyFill="1" applyBorder="1" applyAlignment="1">
      <alignment horizontal="center" vertical="top"/>
    </xf>
    <xf numFmtId="0" fontId="24" fillId="13" borderId="23" xfId="2" applyFill="1" applyBorder="1" applyAlignment="1">
      <alignment vertical="top" wrapText="1"/>
    </xf>
    <xf numFmtId="0" fontId="2" fillId="13" borderId="23" xfId="6" applyNumberFormat="1" applyFill="1" applyBorder="1" applyAlignment="1" applyProtection="1">
      <alignment horizontal="center" vertical="top"/>
    </xf>
    <xf numFmtId="0" fontId="2" fillId="13" borderId="23" xfId="6" applyNumberFormat="1" applyFill="1" applyBorder="1" applyAlignment="1" applyProtection="1">
      <alignment horizontal="center" vertical="top" wrapText="1"/>
    </xf>
    <xf numFmtId="0" fontId="1" fillId="13" borderId="23" xfId="6" applyNumberFormat="1" applyFont="1" applyFill="1" applyBorder="1" applyAlignment="1" applyProtection="1">
      <alignment horizontal="center" vertical="top"/>
    </xf>
    <xf numFmtId="3" fontId="24" fillId="0" borderId="34" xfId="10" applyNumberFormat="1" applyBorder="1"/>
    <xf numFmtId="8" fontId="24" fillId="2" borderId="23" xfId="1" applyNumberFormat="1" applyFont="1" applyFill="1" applyBorder="1" applyAlignment="1" applyProtection="1">
      <alignment horizontal="center" vertical="center"/>
    </xf>
    <xf numFmtId="1" fontId="2" fillId="9" borderId="24" xfId="6" applyNumberFormat="1" applyFill="1" applyBorder="1" applyAlignment="1" applyProtection="1">
      <alignment horizontal="center" vertical="center" wrapText="1"/>
      <protection hidden="1"/>
    </xf>
    <xf numFmtId="3" fontId="24" fillId="2" borderId="0" xfId="2" applyNumberFormat="1" applyFill="1" applyAlignment="1">
      <alignment vertical="center"/>
    </xf>
    <xf numFmtId="166" fontId="24" fillId="2" borderId="0" xfId="2" applyNumberFormat="1" applyFill="1" applyAlignment="1">
      <alignment vertical="center"/>
    </xf>
    <xf numFmtId="0" fontId="5" fillId="2" borderId="0" xfId="0" applyFont="1" applyFill="1" applyAlignment="1">
      <alignment horizontal="center" vertical="top"/>
    </xf>
    <xf numFmtId="0" fontId="2" fillId="2" borderId="0" xfId="0" applyFont="1" applyFill="1" applyProtection="1">
      <protection hidden="1"/>
    </xf>
    <xf numFmtId="3" fontId="2" fillId="2" borderId="0" xfId="0" applyNumberFormat="1" applyFont="1" applyFill="1" applyProtection="1">
      <protection hidden="1"/>
    </xf>
    <xf numFmtId="0" fontId="5" fillId="2" borderId="0" xfId="0" applyFont="1" applyFill="1" applyAlignment="1">
      <alignment vertical="top"/>
    </xf>
    <xf numFmtId="0" fontId="25" fillId="2" borderId="0" xfId="2" applyFont="1" applyFill="1" applyAlignment="1">
      <alignment vertical="top" wrapText="1"/>
    </xf>
    <xf numFmtId="0" fontId="25" fillId="2" borderId="0" xfId="2" applyFont="1" applyFill="1" applyAlignment="1">
      <alignment vertical="top"/>
    </xf>
    <xf numFmtId="4" fontId="25" fillId="2" borderId="0" xfId="2" applyNumberFormat="1" applyFont="1" applyFill="1" applyAlignment="1">
      <alignment vertical="top" wrapText="1"/>
    </xf>
    <xf numFmtId="9" fontId="5" fillId="2" borderId="0" xfId="1" applyFont="1" applyFill="1"/>
    <xf numFmtId="0" fontId="4" fillId="13" borderId="17" xfId="6" applyFont="1" applyFill="1" applyBorder="1" applyAlignment="1">
      <alignment horizontal="center" vertical="center" wrapText="1"/>
    </xf>
    <xf numFmtId="0" fontId="4" fillId="13" borderId="17" xfId="6" applyFont="1" applyFill="1" applyBorder="1" applyAlignment="1" applyProtection="1">
      <alignment horizontal="center" vertical="center" wrapText="1"/>
      <protection hidden="1"/>
    </xf>
    <xf numFmtId="4" fontId="24" fillId="2" borderId="17" xfId="2" applyNumberFormat="1" applyFill="1" applyBorder="1" applyAlignment="1">
      <alignment horizontal="center" vertical="top" wrapText="1"/>
    </xf>
    <xf numFmtId="0" fontId="24" fillId="2" borderId="13" xfId="3" applyFont="1" applyFill="1" applyBorder="1" applyAlignment="1">
      <alignment horizontal="center" vertical="top" wrapText="1"/>
    </xf>
    <xf numFmtId="0" fontId="2" fillId="9" borderId="11" xfId="6" applyFill="1" applyBorder="1" applyAlignment="1" applyProtection="1">
      <alignment horizontal="center" vertical="center" wrapText="1"/>
      <protection hidden="1"/>
    </xf>
    <xf numFmtId="0" fontId="2" fillId="9" borderId="11" xfId="6" applyFill="1" applyBorder="1" applyAlignment="1" applyProtection="1">
      <alignment horizontal="center" vertical="center" wrapText="1"/>
    </xf>
    <xf numFmtId="0" fontId="44" fillId="2" borderId="0" xfId="0" applyFont="1" applyFill="1"/>
    <xf numFmtId="0" fontId="45" fillId="2" borderId="0" xfId="0" applyFont="1" applyFill="1"/>
    <xf numFmtId="0" fontId="46" fillId="2" borderId="0" xfId="2" applyFont="1" applyFill="1" applyAlignment="1" applyProtection="1">
      <alignment horizontal="left" vertical="center" wrapText="1"/>
      <protection hidden="1"/>
    </xf>
    <xf numFmtId="0" fontId="41" fillId="2" borderId="0" xfId="0" applyFont="1" applyFill="1" applyAlignment="1">
      <alignment vertical="top"/>
    </xf>
    <xf numFmtId="0" fontId="40" fillId="2" borderId="0" xfId="0" applyFont="1" applyFill="1" applyAlignment="1" applyProtection="1">
      <alignment wrapText="1"/>
      <protection hidden="1"/>
    </xf>
    <xf numFmtId="4" fontId="24" fillId="13" borderId="23" xfId="7" applyNumberFormat="1" applyFill="1" applyBorder="1" applyAlignment="1" applyProtection="1">
      <alignment horizontal="center" vertical="top" wrapText="1"/>
      <protection locked="0"/>
    </xf>
    <xf numFmtId="9" fontId="1" fillId="5" borderId="23" xfId="1" applyFont="1" applyFill="1" applyBorder="1" applyAlignment="1" applyProtection="1">
      <alignment horizontal="center" vertical="top" wrapText="1"/>
      <protection locked="0"/>
    </xf>
    <xf numFmtId="0" fontId="0" fillId="2" borderId="0" xfId="0" applyFill="1" applyAlignment="1" applyProtection="1">
      <alignment vertical="top"/>
      <protection hidden="1"/>
    </xf>
    <xf numFmtId="4" fontId="24" fillId="5" borderId="23" xfId="7" applyNumberFormat="1" applyFill="1" applyBorder="1" applyAlignment="1" applyProtection="1">
      <alignment horizontal="center" vertical="top" wrapText="1"/>
    </xf>
    <xf numFmtId="4" fontId="24" fillId="0" borderId="23" xfId="7" applyNumberFormat="1" applyFill="1" applyBorder="1" applyAlignment="1" applyProtection="1">
      <alignment horizontal="center" vertical="top" wrapText="1"/>
    </xf>
    <xf numFmtId="14" fontId="0" fillId="0" borderId="17" xfId="0" applyNumberFormat="1" applyBorder="1" applyAlignment="1">
      <alignment horizontal="center" vertical="top" wrapText="1"/>
    </xf>
    <xf numFmtId="4" fontId="1" fillId="5" borderId="23" xfId="2" applyNumberFormat="1" applyFont="1" applyFill="1" applyBorder="1" applyAlignment="1">
      <alignment horizontal="center" vertical="center" wrapText="1"/>
    </xf>
    <xf numFmtId="168" fontId="24" fillId="2" borderId="17" xfId="7" applyNumberFormat="1" applyFill="1" applyBorder="1" applyAlignment="1" applyProtection="1">
      <alignment horizontal="center" vertical="top" wrapText="1"/>
    </xf>
    <xf numFmtId="168" fontId="24" fillId="5" borderId="17" xfId="7" applyNumberFormat="1" applyFill="1" applyBorder="1" applyAlignment="1" applyProtection="1">
      <alignment horizontal="center" vertical="top" wrapText="1"/>
    </xf>
    <xf numFmtId="165" fontId="24" fillId="2" borderId="0" xfId="2" applyNumberFormat="1" applyFill="1"/>
    <xf numFmtId="0" fontId="0" fillId="5" borderId="23" xfId="0" applyFill="1" applyBorder="1" applyProtection="1">
      <protection locked="0"/>
    </xf>
    <xf numFmtId="9" fontId="0" fillId="5" borderId="23" xfId="1" applyFont="1" applyFill="1" applyBorder="1" applyAlignment="1" applyProtection="1">
      <alignment horizontal="center"/>
      <protection locked="0"/>
    </xf>
    <xf numFmtId="0" fontId="24" fillId="2" borderId="23" xfId="7" applyFill="1" applyBorder="1" applyAlignment="1" applyProtection="1">
      <alignment horizontal="center" vertical="top" wrapText="1"/>
    </xf>
    <xf numFmtId="4" fontId="2" fillId="9" borderId="23" xfId="7" applyNumberFormat="1" applyFont="1" applyFill="1" applyBorder="1" applyAlignment="1" applyProtection="1">
      <alignment horizontal="center" vertical="top" wrapText="1"/>
    </xf>
    <xf numFmtId="0" fontId="4" fillId="5" borderId="23" xfId="6" applyFont="1" applyFill="1" applyBorder="1" applyAlignment="1" applyProtection="1">
      <alignment horizontal="center" vertical="top" wrapText="1"/>
      <protection locked="0" hidden="1"/>
    </xf>
    <xf numFmtId="4" fontId="24" fillId="2" borderId="23" xfId="7" applyNumberFormat="1" applyFill="1" applyBorder="1" applyAlignment="1" applyProtection="1">
      <alignment horizontal="center" vertical="top" wrapText="1"/>
    </xf>
    <xf numFmtId="4" fontId="0" fillId="5" borderId="23" xfId="0" applyNumberFormat="1" applyFill="1" applyBorder="1" applyProtection="1">
      <protection locked="0"/>
    </xf>
    <xf numFmtId="0" fontId="2" fillId="9" borderId="23" xfId="7" applyFont="1" applyFill="1" applyBorder="1" applyAlignment="1" applyProtection="1">
      <alignment horizontal="center" vertical="top" wrapText="1"/>
    </xf>
    <xf numFmtId="9" fontId="2" fillId="9" borderId="23" xfId="1" applyFont="1" applyFill="1" applyBorder="1" applyAlignment="1" applyProtection="1">
      <alignment horizontal="center" vertical="top" wrapText="1"/>
    </xf>
    <xf numFmtId="14" fontId="0" fillId="2" borderId="17" xfId="0" applyNumberFormat="1" applyFill="1" applyBorder="1" applyAlignment="1">
      <alignment horizontal="center" vertical="top" wrapText="1"/>
    </xf>
    <xf numFmtId="3" fontId="24" fillId="2" borderId="23" xfId="7" applyNumberFormat="1" applyFill="1" applyBorder="1" applyAlignment="1" applyProtection="1">
      <alignment horizontal="center" vertical="top" wrapText="1"/>
    </xf>
    <xf numFmtId="165" fontId="24" fillId="5" borderId="17" xfId="2" applyNumberFormat="1" applyFill="1" applyBorder="1" applyAlignment="1">
      <alignment horizontal="center" vertical="center" wrapText="1"/>
    </xf>
    <xf numFmtId="4" fontId="1" fillId="5" borderId="23" xfId="2" applyNumberFormat="1" applyFont="1" applyFill="1" applyBorder="1" applyAlignment="1" applyProtection="1">
      <alignment horizontal="center" vertical="center" wrapText="1"/>
      <protection locked="0"/>
    </xf>
    <xf numFmtId="165" fontId="24" fillId="5" borderId="17" xfId="2" applyNumberFormat="1" applyFill="1" applyBorder="1" applyAlignment="1" applyProtection="1">
      <alignment horizontal="center" vertical="top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3" fontId="41" fillId="2" borderId="23" xfId="0" applyNumberFormat="1" applyFont="1" applyFill="1" applyBorder="1" applyAlignment="1" applyProtection="1">
      <alignment horizontal="center" vertical="top" wrapText="1"/>
      <protection hidden="1"/>
    </xf>
    <xf numFmtId="0" fontId="2" fillId="9" borderId="23" xfId="0" applyFont="1" applyFill="1" applyBorder="1" applyAlignment="1" applyProtection="1">
      <alignment horizontal="center" vertical="top" wrapText="1"/>
      <protection hidden="1"/>
    </xf>
    <xf numFmtId="0" fontId="16" fillId="9" borderId="23" xfId="0" applyFont="1" applyFill="1" applyBorder="1" applyAlignment="1" applyProtection="1">
      <alignment horizontal="center" vertical="top" wrapText="1"/>
      <protection hidden="1"/>
    </xf>
    <xf numFmtId="0" fontId="17" fillId="9" borderId="23" xfId="0" applyFont="1" applyFill="1" applyBorder="1" applyAlignment="1" applyProtection="1">
      <alignment horizontal="center" vertical="top" wrapText="1"/>
      <protection hidden="1"/>
    </xf>
    <xf numFmtId="0" fontId="0" fillId="2" borderId="35" xfId="0" applyFill="1" applyBorder="1" applyAlignment="1" applyProtection="1">
      <alignment vertical="top" wrapText="1"/>
      <protection hidden="1"/>
    </xf>
    <xf numFmtId="0" fontId="0" fillId="2" borderId="36" xfId="0" applyFill="1" applyBorder="1" applyAlignment="1" applyProtection="1">
      <alignment vertical="top" wrapText="1"/>
      <protection hidden="1"/>
    </xf>
    <xf numFmtId="0" fontId="2" fillId="9" borderId="35" xfId="0" applyFont="1" applyFill="1" applyBorder="1" applyAlignment="1" applyProtection="1">
      <alignment horizontal="center" vertical="center" wrapText="1"/>
      <protection hidden="1"/>
    </xf>
    <xf numFmtId="0" fontId="2" fillId="9" borderId="36" xfId="0" applyFont="1" applyFill="1" applyBorder="1" applyAlignment="1" applyProtection="1">
      <alignment horizontal="center" vertical="center" wrapText="1"/>
      <protection hidden="1"/>
    </xf>
    <xf numFmtId="0" fontId="0" fillId="2" borderId="35" xfId="0" applyFill="1" applyBorder="1" applyAlignment="1" applyProtection="1">
      <alignment vertical="top"/>
      <protection hidden="1"/>
    </xf>
    <xf numFmtId="0" fontId="0" fillId="2" borderId="36" xfId="0" applyFill="1" applyBorder="1" applyAlignment="1" applyProtection="1">
      <alignment vertical="top"/>
      <protection hidden="1"/>
    </xf>
    <xf numFmtId="0" fontId="0" fillId="4" borderId="35" xfId="0" applyFill="1" applyBorder="1" applyAlignment="1" applyProtection="1">
      <alignment vertical="top"/>
      <protection hidden="1"/>
    </xf>
    <xf numFmtId="0" fontId="0" fillId="4" borderId="36" xfId="0" applyFill="1" applyBorder="1" applyAlignment="1" applyProtection="1">
      <alignment vertical="top"/>
      <protection hidden="1"/>
    </xf>
    <xf numFmtId="0" fontId="14" fillId="2" borderId="0" xfId="0" applyFont="1" applyFill="1"/>
    <xf numFmtId="0" fontId="0" fillId="2" borderId="0" xfId="0" applyFill="1"/>
    <xf numFmtId="0" fontId="15" fillId="2" borderId="0" xfId="0" applyFont="1" applyFill="1" applyAlignment="1">
      <alignment horizontal="center" vertical="top"/>
    </xf>
    <xf numFmtId="0" fontId="35" fillId="9" borderId="17" xfId="0" applyFont="1" applyFill="1" applyBorder="1" applyAlignment="1">
      <alignment horizontal="center" vertical="top" wrapText="1"/>
    </xf>
    <xf numFmtId="0" fontId="0" fillId="2" borderId="17" xfId="0" applyFill="1" applyBorder="1" applyAlignment="1">
      <alignment vertical="top" wrapText="1"/>
    </xf>
    <xf numFmtId="9" fontId="0" fillId="5" borderId="17" xfId="0" applyNumberFormat="1" applyFill="1" applyBorder="1" applyAlignment="1" applyProtection="1">
      <alignment horizontal="center" vertical="top" wrapText="1"/>
      <protection locked="0"/>
    </xf>
    <xf numFmtId="0" fontId="2" fillId="9" borderId="24" xfId="6" applyFill="1" applyBorder="1" applyAlignment="1" applyProtection="1">
      <alignment horizontal="center" vertical="center" wrapText="1"/>
      <protection hidden="1"/>
    </xf>
    <xf numFmtId="0" fontId="2" fillId="9" borderId="25" xfId="6" applyFill="1" applyBorder="1" applyAlignment="1" applyProtection="1">
      <alignment horizontal="center" vertical="center" wrapText="1"/>
      <protection hidden="1"/>
    </xf>
    <xf numFmtId="0" fontId="2" fillId="9" borderId="26" xfId="6" applyFill="1" applyBorder="1" applyAlignment="1" applyProtection="1">
      <alignment horizontal="center" vertical="center" wrapText="1"/>
      <protection hidden="1"/>
    </xf>
    <xf numFmtId="9" fontId="0" fillId="5" borderId="23" xfId="0" applyNumberFormat="1" applyFill="1" applyBorder="1" applyAlignment="1" applyProtection="1">
      <alignment horizontal="center" vertical="top" wrapText="1"/>
      <protection locked="0"/>
    </xf>
    <xf numFmtId="0" fontId="0" fillId="5" borderId="23" xfId="0" applyFill="1" applyBorder="1" applyAlignment="1" applyProtection="1">
      <alignment horizontal="center" vertical="top" wrapText="1"/>
      <protection locked="0"/>
    </xf>
    <xf numFmtId="0" fontId="2" fillId="9" borderId="23" xfId="6" applyFill="1" applyBorder="1" applyAlignment="1">
      <alignment horizontal="center" vertical="top" wrapText="1"/>
    </xf>
    <xf numFmtId="0" fontId="24" fillId="2" borderId="23" xfId="2" applyFill="1" applyBorder="1" applyAlignment="1" applyProtection="1">
      <alignment horizontal="left" vertical="center" wrapText="1"/>
      <protection hidden="1"/>
    </xf>
    <xf numFmtId="0" fontId="0" fillId="2" borderId="14" xfId="2" applyFont="1" applyFill="1" applyBorder="1" applyAlignment="1">
      <alignment horizontal="left" vertical="center" wrapText="1"/>
    </xf>
    <xf numFmtId="0" fontId="1" fillId="2" borderId="19" xfId="2" applyFont="1" applyFill="1" applyBorder="1" applyAlignment="1">
      <alignment horizontal="left" vertical="center" wrapText="1"/>
    </xf>
    <xf numFmtId="0" fontId="1" fillId="2" borderId="15" xfId="2" applyFont="1" applyFill="1" applyBorder="1" applyAlignment="1">
      <alignment horizontal="left" vertical="center" wrapText="1"/>
    </xf>
    <xf numFmtId="4" fontId="2" fillId="9" borderId="28" xfId="0" applyNumberFormat="1" applyFont="1" applyFill="1" applyBorder="1" applyAlignment="1">
      <alignment horizontal="center"/>
    </xf>
    <xf numFmtId="4" fontId="2" fillId="9" borderId="29" xfId="0" applyNumberFormat="1" applyFont="1" applyFill="1" applyBorder="1" applyAlignment="1">
      <alignment horizontal="center"/>
    </xf>
    <xf numFmtId="0" fontId="2" fillId="9" borderId="24" xfId="6" applyFill="1" applyBorder="1" applyAlignment="1">
      <alignment horizontal="center" vertical="top" wrapText="1"/>
    </xf>
    <xf numFmtId="0" fontId="2" fillId="9" borderId="25" xfId="6" applyFill="1" applyBorder="1" applyAlignment="1">
      <alignment horizontal="center" vertical="top" wrapText="1"/>
    </xf>
    <xf numFmtId="0" fontId="2" fillId="9" borderId="26" xfId="6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2" fillId="9" borderId="23" xfId="0" applyFont="1" applyFill="1" applyBorder="1" applyAlignment="1">
      <alignment horizontal="center" vertical="top"/>
    </xf>
    <xf numFmtId="0" fontId="2" fillId="9" borderId="17" xfId="6" applyFill="1" applyBorder="1" applyAlignment="1">
      <alignment horizontal="center" vertical="center" wrapText="1"/>
    </xf>
    <xf numFmtId="0" fontId="2" fillId="9" borderId="27" xfId="6" applyFill="1" applyBorder="1" applyAlignment="1">
      <alignment horizontal="center" vertical="top" wrapText="1"/>
    </xf>
    <xf numFmtId="0" fontId="2" fillId="9" borderId="0" xfId="6" applyFill="1" applyBorder="1" applyAlignment="1">
      <alignment horizontal="center" vertical="top" wrapText="1"/>
    </xf>
    <xf numFmtId="0" fontId="24" fillId="2" borderId="14" xfId="2" applyFill="1" applyBorder="1" applyAlignment="1">
      <alignment horizontal="left" vertical="center" wrapText="1"/>
    </xf>
    <xf numFmtId="0" fontId="24" fillId="2" borderId="15" xfId="2" applyFill="1" applyBorder="1" applyAlignment="1">
      <alignment horizontal="left" vertical="center" wrapText="1"/>
    </xf>
    <xf numFmtId="14" fontId="2" fillId="10" borderId="23" xfId="6" applyNumberFormat="1" applyFill="1" applyBorder="1" applyAlignment="1" applyProtection="1">
      <alignment horizontal="center" vertical="top" wrapText="1"/>
      <protection hidden="1"/>
    </xf>
    <xf numFmtId="0" fontId="2" fillId="2" borderId="21" xfId="6" applyFill="1" applyBorder="1" applyAlignment="1">
      <alignment horizontal="center" vertical="center" wrapText="1"/>
    </xf>
    <xf numFmtId="0" fontId="2" fillId="2" borderId="22" xfId="6" applyFill="1" applyBorder="1" applyAlignment="1">
      <alignment horizontal="center" vertical="center" wrapText="1"/>
    </xf>
    <xf numFmtId="0" fontId="2" fillId="2" borderId="20" xfId="6" applyFill="1" applyBorder="1" applyAlignment="1">
      <alignment horizontal="center" vertical="center" wrapText="1"/>
    </xf>
    <xf numFmtId="0" fontId="0" fillId="2" borderId="0" xfId="0" applyFill="1" applyAlignment="1">
      <alignment horizontal="center" vertical="top" wrapText="1"/>
    </xf>
    <xf numFmtId="0" fontId="2" fillId="9" borderId="23" xfId="6" applyNumberFormat="1" applyFill="1" applyBorder="1" applyAlignment="1" applyProtection="1">
      <alignment horizontal="center" vertical="top"/>
    </xf>
    <xf numFmtId="0" fontId="2" fillId="9" borderId="23" xfId="6" applyNumberFormat="1" applyFill="1" applyBorder="1" applyAlignment="1" applyProtection="1">
      <alignment horizontal="center" vertical="top" wrapText="1"/>
    </xf>
    <xf numFmtId="0" fontId="2" fillId="9" borderId="23" xfId="6" applyNumberFormat="1" applyFill="1" applyBorder="1" applyAlignment="1">
      <alignment horizontal="center" vertical="top" wrapText="1"/>
    </xf>
    <xf numFmtId="0" fontId="1" fillId="2" borderId="23" xfId="2" applyFont="1" applyFill="1" applyBorder="1" applyAlignment="1" applyProtection="1">
      <alignment horizontal="center" vertical="center" wrapText="1"/>
      <protection hidden="1"/>
    </xf>
    <xf numFmtId="0" fontId="0" fillId="2" borderId="32" xfId="0" applyFill="1" applyBorder="1" applyAlignment="1" applyProtection="1">
      <alignment horizontal="left" vertical="center"/>
      <protection hidden="1"/>
    </xf>
    <xf numFmtId="0" fontId="0" fillId="2" borderId="16" xfId="0" applyFill="1" applyBorder="1" applyAlignment="1" applyProtection="1">
      <alignment horizontal="left" vertical="center"/>
      <protection hidden="1"/>
    </xf>
    <xf numFmtId="0" fontId="0" fillId="2" borderId="33" xfId="0" applyFill="1" applyBorder="1" applyAlignment="1" applyProtection="1">
      <alignment horizontal="left" vertical="center"/>
      <protection hidden="1"/>
    </xf>
    <xf numFmtId="0" fontId="2" fillId="9" borderId="30" xfId="6" applyFill="1" applyBorder="1" applyAlignment="1" applyProtection="1">
      <alignment horizontal="center" vertical="center" wrapText="1"/>
      <protection hidden="1"/>
    </xf>
    <xf numFmtId="0" fontId="2" fillId="9" borderId="12" xfId="6" applyFill="1" applyBorder="1" applyAlignment="1" applyProtection="1">
      <alignment horizontal="center" vertical="center" wrapText="1"/>
      <protection hidden="1"/>
    </xf>
    <xf numFmtId="0" fontId="2" fillId="9" borderId="31" xfId="6" applyFill="1" applyBorder="1" applyAlignment="1" applyProtection="1">
      <alignment horizontal="center" vertical="center" wrapText="1"/>
      <protection hidden="1"/>
    </xf>
    <xf numFmtId="0" fontId="30" fillId="2" borderId="35" xfId="3" applyFill="1" applyBorder="1" applyAlignment="1">
      <alignment horizontal="center" vertical="center" wrapText="1"/>
    </xf>
    <xf numFmtId="0" fontId="2" fillId="2" borderId="37" xfId="6" applyFill="1" applyBorder="1" applyAlignment="1">
      <alignment horizontal="center" vertical="center" wrapText="1"/>
    </xf>
    <xf numFmtId="0" fontId="2" fillId="2" borderId="36" xfId="6" applyFill="1" applyBorder="1" applyAlignment="1">
      <alignment horizontal="center" vertical="center" wrapText="1"/>
    </xf>
    <xf numFmtId="0" fontId="31" fillId="2" borderId="14" xfId="3" applyFont="1" applyFill="1" applyBorder="1" applyAlignment="1" applyProtection="1">
      <alignment horizontal="center" vertical="top" wrapText="1"/>
      <protection hidden="1"/>
    </xf>
    <xf numFmtId="0" fontId="31" fillId="2" borderId="19" xfId="3" applyFont="1" applyFill="1" applyBorder="1" applyAlignment="1" applyProtection="1">
      <alignment horizontal="center" vertical="top" wrapText="1"/>
      <protection hidden="1"/>
    </xf>
    <xf numFmtId="0" fontId="31" fillId="2" borderId="15" xfId="3" applyFont="1" applyFill="1" applyBorder="1" applyAlignment="1" applyProtection="1">
      <alignment horizontal="center" vertical="top" wrapText="1"/>
      <protection hidden="1"/>
    </xf>
    <xf numFmtId="0" fontId="0" fillId="2" borderId="14" xfId="0" applyFill="1" applyBorder="1" applyAlignment="1" applyProtection="1">
      <alignment horizontal="left" vertical="center"/>
      <protection hidden="1"/>
    </xf>
    <xf numFmtId="0" fontId="0" fillId="2" borderId="19" xfId="0" applyFill="1" applyBorder="1" applyAlignment="1" applyProtection="1">
      <alignment horizontal="left" vertical="center"/>
      <protection hidden="1"/>
    </xf>
    <xf numFmtId="0" fontId="0" fillId="2" borderId="15" xfId="0" applyFill="1" applyBorder="1" applyAlignment="1" applyProtection="1">
      <alignment horizontal="left" vertical="center"/>
      <protection hidden="1"/>
    </xf>
    <xf numFmtId="0" fontId="24" fillId="2" borderId="14" xfId="8" applyNumberFormat="1" applyFill="1" applyBorder="1" applyAlignment="1" applyProtection="1">
      <alignment horizontal="left" vertical="center" wrapText="1"/>
      <protection hidden="1"/>
    </xf>
    <xf numFmtId="0" fontId="24" fillId="2" borderId="19" xfId="8" applyNumberFormat="1" applyFill="1" applyBorder="1" applyAlignment="1" applyProtection="1">
      <alignment horizontal="left" vertical="center" wrapText="1"/>
      <protection hidden="1"/>
    </xf>
    <xf numFmtId="0" fontId="24" fillId="2" borderId="15" xfId="8" applyNumberFormat="1" applyFill="1" applyBorder="1" applyAlignment="1" applyProtection="1">
      <alignment horizontal="left" vertical="center" wrapText="1"/>
      <protection hidden="1"/>
    </xf>
  </cellXfs>
  <cellStyles count="11">
    <cellStyle name="Гиперссылка" xfId="3" builtinId="8"/>
    <cellStyle name="Изменяемые ячейки" xfId="7" xr:uid="{00000000-0005-0000-0000-000001000000}"/>
    <cellStyle name="Обычный" xfId="0" builtinId="0"/>
    <cellStyle name="Обычный 10" xfId="5" xr:uid="{00000000-0005-0000-0000-000003000000}"/>
    <cellStyle name="Обычный 2" xfId="2" xr:uid="{00000000-0005-0000-0000-000004000000}"/>
    <cellStyle name="Обычный 3" xfId="10" xr:uid="{00000000-0005-0000-0000-000005000000}"/>
    <cellStyle name="Обычный 4 2" xfId="4" xr:uid="{00000000-0005-0000-0000-000006000000}"/>
    <cellStyle name="Процентный" xfId="1" builtinId="5"/>
    <cellStyle name="Процентный 2" xfId="9" xr:uid="{00000000-0005-0000-0000-000008000000}"/>
    <cellStyle name="Ячейки заголовков" xfId="6" xr:uid="{00000000-0005-0000-0000-000009000000}"/>
    <cellStyle name="Ячейки итогов" xfId="8" xr:uid="{00000000-0005-0000-0000-00000A000000}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NPV - </a:t>
            </a:r>
            <a:r>
              <a:rPr lang="ru-RU"/>
              <a:t>проекта с учетом ранее понесенных,</a:t>
            </a:r>
            <a:r>
              <a:rPr lang="ru-RU" baseline="0"/>
              <a:t> тыс. руб.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выводы!$B$52:$J$52</c:f>
              <c:numCache>
                <c:formatCode>#,##0</c:formatCode>
                <c:ptCount val="9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</c:numCache>
            </c:numRef>
          </c:cat>
          <c:val>
            <c:numRef>
              <c:f>выводы!$B$54:$J$54</c:f>
              <c:numCache>
                <c:formatCode>#,##0</c:formatCode>
                <c:ptCount val="9"/>
                <c:pt idx="0" formatCode="#\ ##0_ ;[Red]\-#\ ##0\ ">
                  <c:v>-17072.773000000001</c:v>
                </c:pt>
                <c:pt idx="1">
                  <c:v>-40011.955023258197</c:v>
                </c:pt>
                <c:pt idx="2">
                  <c:v>-41714.402789651642</c:v>
                </c:pt>
                <c:pt idx="3">
                  <c:v>-43799.632152151113</c:v>
                </c:pt>
                <c:pt idx="4">
                  <c:v>-45750.360052973658</c:v>
                </c:pt>
                <c:pt idx="5">
                  <c:v>-47570.410518347402</c:v>
                </c:pt>
                <c:pt idx="6">
                  <c:v>-49807.534409289874</c:v>
                </c:pt>
                <c:pt idx="7">
                  <c:v>-51994.392654446332</c:v>
                </c:pt>
                <c:pt idx="8">
                  <c:v>-52494.850727139696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26-48D3-AD96-E130535DA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5611328"/>
        <c:axId val="665612576"/>
      </c:lineChart>
      <c:catAx>
        <c:axId val="66561132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65612576"/>
        <c:crosses val="autoZero"/>
        <c:auto val="1"/>
        <c:lblAlgn val="ctr"/>
        <c:lblOffset val="100"/>
        <c:noMultiLvlLbl val="0"/>
      </c:catAx>
      <c:valAx>
        <c:axId val="665612576"/>
        <c:scaling>
          <c:orientation val="minMax"/>
        </c:scaling>
        <c:delete val="0"/>
        <c:axPos val="l"/>
        <c:numFmt formatCode="#\ ##0_ ;[Red]\-#\ 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65611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frp.kirovreg.ru" TargetMode="External"/><Relationship Id="rId3" Type="http://schemas.openxmlformats.org/officeDocument/2006/relationships/hyperlink" Target="https://frp.kirovreg.ru/about/" TargetMode="External"/><Relationship Id="rId7" Type="http://schemas.openxmlformats.org/officeDocument/2006/relationships/hyperlink" Target="#'&#1055;&#1072;&#1088;&#1072;&#1084;&#1077;&#1090;&#1088;&#1099; &#1079;&#1072;&#1081;&#1084;&#1072;'!A1"/><Relationship Id="rId2" Type="http://schemas.openxmlformats.org/officeDocument/2006/relationships/image" Target="../media/image1.png"/><Relationship Id="rId1" Type="http://schemas.openxmlformats.org/officeDocument/2006/relationships/hyperlink" Target="https://frprf.ru/" TargetMode="External"/><Relationship Id="rId6" Type="http://schemas.openxmlformats.org/officeDocument/2006/relationships/hyperlink" Target="https://frp.kirovreg.ru/contacts/" TargetMode="External"/><Relationship Id="rId5" Type="http://schemas.openxmlformats.org/officeDocument/2006/relationships/hyperlink" Target="https://frprf.ru/partnery/" TargetMode="External"/><Relationship Id="rId4" Type="http://schemas.openxmlformats.org/officeDocument/2006/relationships/hyperlink" Target="https://frp.kirovreg.ru/loans/sobstvennaya-programma-finansirovaniya/" TargetMode="External"/><Relationship Id="rId9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frp.kirovreg.ru" TargetMode="External"/><Relationship Id="rId2" Type="http://schemas.openxmlformats.org/officeDocument/2006/relationships/image" Target="../media/image3.png"/><Relationship Id="rId1" Type="http://schemas.openxmlformats.org/officeDocument/2006/relationships/hyperlink" Target="https://frprf.ru/" TargetMode="Externa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hyperlink" Target="https://frprf.ru/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frp.kirovreg.ru" TargetMode="External"/><Relationship Id="rId2" Type="http://schemas.openxmlformats.org/officeDocument/2006/relationships/image" Target="../media/image5.png"/><Relationship Id="rId1" Type="http://schemas.openxmlformats.org/officeDocument/2006/relationships/hyperlink" Target="https://frprf.ru/" TargetMode="External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frp.kirovreg.ru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frp.kirovreg.ru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frp.kirovreg.ru" TargetMode="Externa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frp.kirovreg.ru" TargetMode="External"/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https://frp.kirovreg.ru" TargetMode="External"/><Relationship Id="rId2" Type="http://schemas.openxmlformats.org/officeDocument/2006/relationships/image" Target="../media/image3.png"/><Relationship Id="rId1" Type="http://schemas.openxmlformats.org/officeDocument/2006/relationships/hyperlink" Target="https://frprf.ru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168871</xdr:colOff>
      <xdr:row>8</xdr:row>
      <xdr:rowOff>0</xdr:rowOff>
    </xdr:from>
    <xdr:to>
      <xdr:col>0</xdr:col>
      <xdr:colOff>168871</xdr:colOff>
      <xdr:row>9</xdr:row>
      <xdr:rowOff>104175</xdr:rowOff>
    </xdr:to>
    <xdr:pic>
      <xdr:nvPicPr>
        <xdr:cNvPr id="2" name="Рисунок 1" descr="https://frprf.ru/local/templates/.default/i/logo.png">
          <a:hlinkClick xmlns:r="http://schemas.openxmlformats.org/officeDocument/2006/relationships" r:id="rId1" tooltip="Перейти на сайт Фонда развития промышленности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1" y="157733"/>
          <a:ext cx="1959872" cy="294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3174</xdr:colOff>
      <xdr:row>8</xdr:row>
      <xdr:rowOff>131618</xdr:rowOff>
    </xdr:from>
    <xdr:to>
      <xdr:col>2</xdr:col>
      <xdr:colOff>459501</xdr:colOff>
      <xdr:row>10</xdr:row>
      <xdr:rowOff>59400</xdr:rowOff>
    </xdr:to>
    <xdr:sp macro="" textlink="">
      <xdr:nvSpPr>
        <xdr:cNvPr id="3" name="Скругленный прямоугольник 2">
          <a:hlinkClick xmlns:r="http://schemas.openxmlformats.org/officeDocument/2006/relationships" r:id="rId3" tooltip="Сведения о деятельности фонда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84149" y="703118"/>
          <a:ext cx="1408827" cy="308782"/>
        </a:xfrm>
        <a:prstGeom prst="round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400">
              <a:solidFill>
                <a:schemeClr val="bg1">
                  <a:lumMod val="50000"/>
                </a:schemeClr>
              </a:solidFill>
            </a:rPr>
            <a:t>О фонде</a:t>
          </a:r>
        </a:p>
      </xdr:txBody>
    </xdr:sp>
    <xdr:clientData/>
  </xdr:twoCellAnchor>
  <xdr:twoCellAnchor>
    <xdr:from>
      <xdr:col>2</xdr:col>
      <xdr:colOff>852337</xdr:colOff>
      <xdr:row>8</xdr:row>
      <xdr:rowOff>131619</xdr:rowOff>
    </xdr:from>
    <xdr:to>
      <xdr:col>4</xdr:col>
      <xdr:colOff>324992</xdr:colOff>
      <xdr:row>10</xdr:row>
      <xdr:rowOff>59401</xdr:rowOff>
    </xdr:to>
    <xdr:sp macro="" textlink="">
      <xdr:nvSpPr>
        <xdr:cNvPr id="4" name="Скругленный прямоугольник 3">
          <a:hlinkClick xmlns:r="http://schemas.openxmlformats.org/officeDocument/2006/relationships" r:id="rId4" tooltip="Основные условия программ финансирования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85812" y="703119"/>
          <a:ext cx="1377655" cy="308782"/>
        </a:xfrm>
        <a:prstGeom prst="round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ru-RU" sz="140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Программы</a:t>
          </a:r>
        </a:p>
      </xdr:txBody>
    </xdr:sp>
    <xdr:clientData/>
  </xdr:twoCellAnchor>
  <xdr:twoCellAnchor>
    <xdr:from>
      <xdr:col>4</xdr:col>
      <xdr:colOff>709474</xdr:colOff>
      <xdr:row>8</xdr:row>
      <xdr:rowOff>134791</xdr:rowOff>
    </xdr:from>
    <xdr:to>
      <xdr:col>6</xdr:col>
      <xdr:colOff>182128</xdr:colOff>
      <xdr:row>10</xdr:row>
      <xdr:rowOff>62573</xdr:rowOff>
    </xdr:to>
    <xdr:sp macro="" textlink="">
      <xdr:nvSpPr>
        <xdr:cNvPr id="5" name="Скругленный прямоугольник 4">
          <a:hlinkClick xmlns:r="http://schemas.openxmlformats.org/officeDocument/2006/relationships" r:id="rId5" tooltip="Региональные фонды развития промышленности, институты развития и другие партнёры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47949" y="706291"/>
          <a:ext cx="1377654" cy="308782"/>
        </a:xfrm>
        <a:prstGeom prst="round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ru-RU" sz="140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Партнёры</a:t>
          </a:r>
        </a:p>
      </xdr:txBody>
    </xdr:sp>
    <xdr:clientData/>
  </xdr:twoCellAnchor>
  <xdr:twoCellAnchor>
    <xdr:from>
      <xdr:col>6</xdr:col>
      <xdr:colOff>533403</xdr:colOff>
      <xdr:row>8</xdr:row>
      <xdr:rowOff>131617</xdr:rowOff>
    </xdr:from>
    <xdr:to>
      <xdr:col>8</xdr:col>
      <xdr:colOff>6058</xdr:colOff>
      <xdr:row>10</xdr:row>
      <xdr:rowOff>59399</xdr:rowOff>
    </xdr:to>
    <xdr:sp macro="" textlink="">
      <xdr:nvSpPr>
        <xdr:cNvPr id="9" name="Скругленный прямоугольник 8">
          <a:hlinkClick xmlns:r="http://schemas.openxmlformats.org/officeDocument/2006/relationships" r:id="rId6" tooltip="Контактные данные фонда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476878" y="703117"/>
          <a:ext cx="1377655" cy="308782"/>
        </a:xfrm>
        <a:prstGeom prst="round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ctr"/>
          <a:r>
            <a:rPr lang="ru-RU" sz="140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Контакты</a:t>
          </a:r>
        </a:p>
      </xdr:txBody>
    </xdr:sp>
    <xdr:clientData/>
  </xdr:twoCellAnchor>
  <xdr:twoCellAnchor>
    <xdr:from>
      <xdr:col>3</xdr:col>
      <xdr:colOff>604749</xdr:colOff>
      <xdr:row>19</xdr:row>
      <xdr:rowOff>83701</xdr:rowOff>
    </xdr:from>
    <xdr:to>
      <xdr:col>5</xdr:col>
      <xdr:colOff>435325</xdr:colOff>
      <xdr:row>22</xdr:row>
      <xdr:rowOff>83374</xdr:rowOff>
    </xdr:to>
    <xdr:sp macro="" textlink="">
      <xdr:nvSpPr>
        <xdr:cNvPr id="10" name="Скругленный прямоугольник 9">
          <a:hlinkClick xmlns:r="http://schemas.openxmlformats.org/officeDocument/2006/relationships" r:id="rId7" tooltip="Установить параметры привлечения займа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690724" y="2750701"/>
          <a:ext cx="1735576" cy="571173"/>
        </a:xfrm>
        <a:prstGeom prst="roundRect">
          <a:avLst/>
        </a:prstGeom>
        <a:solidFill>
          <a:srgbClr val="C00000"/>
        </a:solidFill>
        <a:ln w="38100"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400">
              <a:solidFill>
                <a:schemeClr val="bg1"/>
              </a:solidFill>
            </a:rPr>
            <a:t>Параметры</a:t>
          </a:r>
          <a:r>
            <a:rPr lang="ru-RU" sz="1400" baseline="0">
              <a:solidFill>
                <a:schemeClr val="bg1"/>
              </a:solidFill>
            </a:rPr>
            <a:t> займа</a:t>
          </a:r>
          <a:endParaRPr lang="ru-RU" sz="14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19050</xdr:rowOff>
    </xdr:from>
    <xdr:to>
      <xdr:col>3</xdr:col>
      <xdr:colOff>514350</xdr:colOff>
      <xdr:row>7</xdr:row>
      <xdr:rowOff>102038</xdr:rowOff>
    </xdr:to>
    <xdr:pic>
      <xdr:nvPicPr>
        <xdr:cNvPr id="15" name="Рисунок 1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0975" y="19050"/>
          <a:ext cx="2419350" cy="14164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152400</xdr:rowOff>
    </xdr:from>
    <xdr:to>
      <xdr:col>1</xdr:col>
      <xdr:colOff>0</xdr:colOff>
      <xdr:row>6</xdr:row>
      <xdr:rowOff>82190</xdr:rowOff>
    </xdr:to>
    <xdr:pic>
      <xdr:nvPicPr>
        <xdr:cNvPr id="3" name="Рисунок 2" descr="https://frprf.ru/local/templates/.default/i/logo.png">
          <a:hlinkClick xmlns:r="http://schemas.openxmlformats.org/officeDocument/2006/relationships" r:id="rId1" tooltip="Перейти на сайт Фонда развития промышленности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52400"/>
          <a:ext cx="2009775" cy="310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447675</xdr:colOff>
      <xdr:row>7</xdr:row>
      <xdr:rowOff>82988</xdr:rowOff>
    </xdr:to>
    <xdr:pic>
      <xdr:nvPicPr>
        <xdr:cNvPr id="5" name="Рисунок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8600" y="0"/>
          <a:ext cx="2419350" cy="14164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5</xdr:row>
      <xdr:rowOff>38101</xdr:rowOff>
    </xdr:from>
    <xdr:to>
      <xdr:col>1</xdr:col>
      <xdr:colOff>47625</xdr:colOff>
      <xdr:row>6</xdr:row>
      <xdr:rowOff>161566</xdr:rowOff>
    </xdr:to>
    <xdr:pic>
      <xdr:nvPicPr>
        <xdr:cNvPr id="2" name="Рисунок 1" descr="https://frprf.ru/local/templates/.default/i/logo.png">
          <a:hlinkClick xmlns:r="http://schemas.openxmlformats.org/officeDocument/2006/relationships" r:id="rId1" tooltip="Перейти на сайт Фонда развития промышленности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28601"/>
          <a:ext cx="2009775" cy="313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0</xdr:rowOff>
    </xdr:from>
    <xdr:to>
      <xdr:col>2</xdr:col>
      <xdr:colOff>66675</xdr:colOff>
      <xdr:row>7</xdr:row>
      <xdr:rowOff>82988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0"/>
          <a:ext cx="2419350" cy="14164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38101</xdr:rowOff>
    </xdr:from>
    <xdr:to>
      <xdr:col>1</xdr:col>
      <xdr:colOff>723900</xdr:colOff>
      <xdr:row>3</xdr:row>
      <xdr:rowOff>158391</xdr:rowOff>
    </xdr:to>
    <xdr:pic>
      <xdr:nvPicPr>
        <xdr:cNvPr id="2" name="Рисунок 1" descr="https://frprf.ru/local/templates/.default/i/logo.png">
          <a:hlinkClick xmlns:r="http://schemas.openxmlformats.org/officeDocument/2006/relationships" r:id="rId1" tooltip="Перейти на сайт Фонда развития промышленности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28601"/>
          <a:ext cx="2009775" cy="310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2672703</xdr:colOff>
      <xdr:row>7</xdr:row>
      <xdr:rowOff>176892</xdr:rowOff>
    </xdr:to>
    <xdr:pic>
      <xdr:nvPicPr>
        <xdr:cNvPr id="4" name="Рисунок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4607" y="0"/>
          <a:ext cx="2672703" cy="15648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2419350</xdr:colOff>
      <xdr:row>7</xdr:row>
      <xdr:rowOff>82988</xdr:rowOff>
    </xdr:to>
    <xdr:pic>
      <xdr:nvPicPr>
        <xdr:cNvPr id="3" name="Рисунок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7219" y="0"/>
          <a:ext cx="2419350" cy="14164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2419350</xdr:colOff>
      <xdr:row>7</xdr:row>
      <xdr:rowOff>82988</xdr:rowOff>
    </xdr:to>
    <xdr:pic>
      <xdr:nvPicPr>
        <xdr:cNvPr id="3" name="Рисунок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321" y="0"/>
          <a:ext cx="2419350" cy="141648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2419350</xdr:colOff>
      <xdr:row>7</xdr:row>
      <xdr:rowOff>82988</xdr:rowOff>
    </xdr:to>
    <xdr:pic>
      <xdr:nvPicPr>
        <xdr:cNvPr id="3" name="Рисунок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7219" y="0"/>
          <a:ext cx="2419350" cy="141648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50</xdr:row>
      <xdr:rowOff>152400</xdr:rowOff>
    </xdr:from>
    <xdr:to>
      <xdr:col>13</xdr:col>
      <xdr:colOff>962025</xdr:colOff>
      <xdr:row>71</xdr:row>
      <xdr:rowOff>85724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2466975</xdr:colOff>
      <xdr:row>2</xdr:row>
      <xdr:rowOff>502088</xdr:rowOff>
    </xdr:to>
    <xdr:pic>
      <xdr:nvPicPr>
        <xdr:cNvPr id="4" name="Рисунок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0050" y="0"/>
          <a:ext cx="2419350" cy="141648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5</xdr:row>
      <xdr:rowOff>38101</xdr:rowOff>
    </xdr:from>
    <xdr:to>
      <xdr:col>1</xdr:col>
      <xdr:colOff>47625</xdr:colOff>
      <xdr:row>6</xdr:row>
      <xdr:rowOff>158391</xdr:rowOff>
    </xdr:to>
    <xdr:pic>
      <xdr:nvPicPr>
        <xdr:cNvPr id="2" name="Рисунок 1" descr="https://frprf.ru/local/templates/.default/i/logo.png">
          <a:hlinkClick xmlns:r="http://schemas.openxmlformats.org/officeDocument/2006/relationships" r:id="rId1" tooltip="Перейти на сайт Фонда развития промышленности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" y="228601"/>
          <a:ext cx="2009775" cy="303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2419350</xdr:colOff>
      <xdr:row>7</xdr:row>
      <xdr:rowOff>82988</xdr:rowOff>
    </xdr:to>
    <xdr:pic>
      <xdr:nvPicPr>
        <xdr:cNvPr id="4" name="Рисунок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0975" y="0"/>
          <a:ext cx="2419350" cy="14164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scan\&#1050;&#1088;&#1077;&#1076;&#1080;&#1090;&#1099;,%20&#1083;&#1080;&#1079;&#1080;&#1085;&#1075;&#1080;,%20&#1079;&#1072;&#1081;&#1084;&#1099;\&#1047;&#1072;&#1081;&#1084;&#1099;\!!!&#1047;&#1072;&#1081;&#1084;&#1099;%20&#1074;%20&#1060;&#1056;&#1052;\&#1050;&#1088;&#1086;&#1074;&#1077;&#1083;&#1100;&#1085;&#1099;&#1077;%20&#1090;&#1077;&#1093;&#1085;&#1086;&#1083;&#1086;&#1075;&#1080;&#1080;\&#1053;&#1086;&#1074;&#1099;&#1077;%20&#1088;&#1077;&#1079;&#1077;&#1088;&#1074;&#1099;\&#1055;&#1044;&#1044;&#1057;%20(48)_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5.%20&#1048;&#1085;&#1074;&#1077;&#1089;&#1090;\&#1040;&#1075;&#1088;&#1086;&#1093;&#1080;&#1084;&#1080;&#1082;&#1072;&#1090;\20.01.2025\1.2._&#1060;&#1052;_&#1040;&#1075;&#1088;&#1086;&#1093;&#1080;&#1084;&#1080;&#1082;&#1072;&#1090;_15.01.2025_&#1094;&#1077;&#1085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ьный лист"/>
      <sheetName val="Программы финансирования"/>
      <sheetName val="Руководство"/>
      <sheetName val="Параметры займа"/>
      <sheetName val="ПДДС"/>
      <sheetName val="ЦП"/>
      <sheetName val="support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>
            <v>3</v>
          </cell>
        </row>
        <row r="2">
          <cell r="B2">
            <v>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ьный лист"/>
      <sheetName val="Содержание"/>
      <sheetName val="Обращение"/>
      <sheetName val="Программы финансирования"/>
      <sheetName val="Руководство"/>
      <sheetName val="support"/>
      <sheetName val="Параметры займа"/>
      <sheetName val="Предпосылки"/>
      <sheetName val="Источники"/>
      <sheetName val="Капитальные вложения"/>
      <sheetName val="Продажи"/>
      <sheetName val="Операционные затраты"/>
      <sheetName val="ФОТ"/>
      <sheetName val="Оборотный капитал"/>
      <sheetName val="Налоги"/>
      <sheetName val="Финансирование"/>
      <sheetName val="Квартальная отчетность"/>
      <sheetName val="Годовая отчетность"/>
      <sheetName val="Показатели"/>
      <sheetName val="Чувствительность"/>
      <sheetName val="Графики"/>
      <sheetName val="Выводы"/>
      <sheetName val="Проверка"/>
      <sheetName val="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I30" t="str">
            <v>R</v>
          </cell>
        </row>
      </sheetData>
      <sheetData sheetId="8"/>
      <sheetData sheetId="9">
        <row r="419">
          <cell r="C419" t="str">
            <v>R</v>
          </cell>
        </row>
      </sheetData>
      <sheetData sheetId="10"/>
      <sheetData sheetId="11">
        <row r="695">
          <cell r="C695" t="str">
            <v>R</v>
          </cell>
        </row>
      </sheetData>
      <sheetData sheetId="12">
        <row r="353">
          <cell r="C353" t="str">
            <v>R</v>
          </cell>
        </row>
      </sheetData>
      <sheetData sheetId="13"/>
      <sheetData sheetId="14"/>
      <sheetData sheetId="15"/>
      <sheetData sheetId="16">
        <row r="81">
          <cell r="D81" t="str">
            <v>R</v>
          </cell>
        </row>
      </sheetData>
      <sheetData sheetId="17">
        <row r="76">
          <cell r="C76" t="str">
            <v>R</v>
          </cell>
        </row>
        <row r="381">
          <cell r="C381" t="str">
            <v>R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mailto:frpko_43@mail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fm@frprf.ru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fm@frprf.ru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O33"/>
  <sheetViews>
    <sheetView topLeftCell="A4" workbookViewId="0">
      <selection activeCell="B14" sqref="B14:H17"/>
    </sheetView>
  </sheetViews>
  <sheetFormatPr defaultColWidth="0" defaultRowHeight="15.6" customHeight="1" zeroHeight="1"/>
  <cols>
    <col min="1" max="1" width="2.7109375" style="1" customWidth="1"/>
    <col min="2" max="8" width="14.28515625" style="1" customWidth="1"/>
    <col min="9" max="9" width="2.7109375" style="1" customWidth="1"/>
    <col min="10" max="15" width="0" style="1" hidden="1" customWidth="1"/>
    <col min="16" max="16384" width="9.140625" style="1" hidden="1"/>
  </cols>
  <sheetData>
    <row r="1" spans="2:8" ht="15.6" customHeight="1"/>
    <row r="2" spans="2:8" ht="15.6" customHeight="1"/>
    <row r="3" spans="2:8" ht="15.6" customHeight="1"/>
    <row r="4" spans="2:8" ht="15.6" customHeight="1"/>
    <row r="5" spans="2:8" ht="15.6" customHeight="1"/>
    <row r="6" spans="2:8" ht="15.6" customHeight="1"/>
    <row r="7" spans="2:8" ht="15.6" customHeight="1"/>
    <row r="8" spans="2:8" ht="15.6" customHeight="1"/>
    <row r="9" spans="2:8" ht="15" customHeight="1"/>
    <row r="10" spans="2:8" ht="15" customHeight="1"/>
    <row r="11" spans="2:8" ht="15" customHeight="1"/>
    <row r="12" spans="2:8" ht="15" customHeight="1">
      <c r="B12" s="3"/>
      <c r="C12" s="4"/>
      <c r="D12" s="4"/>
      <c r="E12" s="4"/>
      <c r="F12" s="4"/>
      <c r="G12" s="4"/>
      <c r="H12" s="5"/>
    </row>
    <row r="13" spans="2:8" ht="18.75">
      <c r="B13" s="315" t="s">
        <v>0</v>
      </c>
      <c r="C13" s="316"/>
      <c r="D13" s="316"/>
      <c r="E13" s="316"/>
      <c r="F13" s="316"/>
      <c r="G13" s="316"/>
      <c r="H13" s="317"/>
    </row>
    <row r="14" spans="2:8" ht="15" customHeight="1">
      <c r="B14" s="318" t="str">
        <f>IF(ISBLANK('Параметры займа'!F11),"&lt;…&gt;",'Параметры займа'!F11)</f>
        <v>&lt;…&gt;</v>
      </c>
      <c r="C14" s="319"/>
      <c r="D14" s="319"/>
      <c r="E14" s="319"/>
      <c r="F14" s="319"/>
      <c r="G14" s="319"/>
      <c r="H14" s="320"/>
    </row>
    <row r="15" spans="2:8" ht="15" customHeight="1">
      <c r="B15" s="318"/>
      <c r="C15" s="319"/>
      <c r="D15" s="319"/>
      <c r="E15" s="319"/>
      <c r="F15" s="319"/>
      <c r="G15" s="319"/>
      <c r="H15" s="320"/>
    </row>
    <row r="16" spans="2:8" ht="15" customHeight="1">
      <c r="B16" s="318"/>
      <c r="C16" s="319"/>
      <c r="D16" s="319"/>
      <c r="E16" s="319"/>
      <c r="F16" s="319"/>
      <c r="G16" s="319"/>
      <c r="H16" s="320"/>
    </row>
    <row r="17" spans="2:11" ht="30.75" customHeight="1">
      <c r="B17" s="318"/>
      <c r="C17" s="319"/>
      <c r="D17" s="319"/>
      <c r="E17" s="319"/>
      <c r="F17" s="319"/>
      <c r="G17" s="319"/>
      <c r="H17" s="320"/>
    </row>
    <row r="18" spans="2:11" ht="15" customHeight="1">
      <c r="B18" s="6"/>
      <c r="C18" s="2"/>
      <c r="D18" s="2"/>
      <c r="E18" s="2"/>
      <c r="F18" s="2"/>
      <c r="G18" s="2"/>
      <c r="H18" s="7"/>
    </row>
    <row r="19" spans="2:11" ht="15" customHeight="1"/>
    <row r="20" spans="2:11" ht="15" customHeight="1"/>
    <row r="21" spans="2:11" ht="15" customHeight="1"/>
    <row r="22" spans="2:11" ht="15" customHeight="1"/>
    <row r="23" spans="2:11" ht="15" customHeight="1"/>
    <row r="24" spans="2:11" ht="15.75">
      <c r="B24" s="8"/>
      <c r="D24" s="9"/>
      <c r="E24" s="10"/>
    </row>
    <row r="25" spans="2:11" ht="15" customHeight="1">
      <c r="B25" s="321">
        <v>2025</v>
      </c>
      <c r="C25" s="322"/>
      <c r="D25" s="322"/>
      <c r="E25" s="322"/>
      <c r="F25" s="322"/>
      <c r="G25" s="322"/>
      <c r="H25" s="322"/>
    </row>
    <row r="26" spans="2:11" ht="15" customHeight="1">
      <c r="B26" s="323" t="s">
        <v>1</v>
      </c>
      <c r="C26" s="323"/>
      <c r="D26" s="323"/>
      <c r="E26" s="323"/>
      <c r="F26" s="323"/>
      <c r="G26" s="323"/>
      <c r="H26" s="323"/>
    </row>
    <row r="27" spans="2:11" ht="15" customHeight="1">
      <c r="B27" s="11"/>
      <c r="H27" s="12" t="s">
        <v>2</v>
      </c>
    </row>
    <row r="28" spans="2:11" ht="18.75" hidden="1">
      <c r="K28" s="13"/>
    </row>
    <row r="29" spans="2:11" ht="15.6" customHeight="1"/>
    <row r="30" spans="2:11" ht="15.6" customHeight="1"/>
    <row r="31" spans="2:11" ht="15.6" customHeight="1"/>
    <row r="32" spans="2:11" ht="15.6" customHeight="1"/>
    <row r="33" ht="15.6" customHeight="1"/>
  </sheetData>
  <sheetProtection algorithmName="SHA-512" hashValue="iQyNQdo6ypUUUnwtQHMnY0PUVuFMR5pxpuydoIYmhy218Qef/n8Cxd+ouTpTo9S4fEtxQMgy5j73VVYC+eaYhg==" saltValue="HDiMwM6ZzfspQnkiwrG9ZQ==" spinCount="100000" sheet="1" objects="1" scenarios="1"/>
  <mergeCells count="4">
    <mergeCell ref="B13:H13"/>
    <mergeCell ref="B14:H17"/>
    <mergeCell ref="B25:H25"/>
    <mergeCell ref="B26:H2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Z76"/>
  <sheetViews>
    <sheetView workbookViewId="0">
      <selection activeCell="G21" sqref="G21"/>
    </sheetView>
  </sheetViews>
  <sheetFormatPr defaultColWidth="0" defaultRowHeight="15" customHeight="1" zeroHeight="1"/>
  <cols>
    <col min="1" max="1" width="2.7109375" style="1" customWidth="1"/>
    <col min="2" max="2" width="50.140625" style="1" customWidth="1"/>
    <col min="3" max="7" width="17.140625" style="1" customWidth="1"/>
    <col min="8" max="8" width="2.7109375" style="1" customWidth="1"/>
    <col min="9" max="29" width="15.7109375" style="1" hidden="1" customWidth="1"/>
    <col min="30" max="30" width="2.85546875" style="1" hidden="1" customWidth="1"/>
    <col min="31" max="35" width="15.7109375" style="1" hidden="1" customWidth="1"/>
    <col min="36" max="36" width="2.85546875" style="1" hidden="1" customWidth="1"/>
    <col min="37" max="52" width="0" style="1" hidden="1" customWidth="1"/>
    <col min="53" max="16384" width="9.140625" style="1" hidden="1"/>
  </cols>
  <sheetData>
    <row r="1" spans="2:35" ht="15" customHeight="1"/>
    <row r="2" spans="2:35" ht="15" customHeight="1"/>
    <row r="3" spans="2:35" ht="15" customHeight="1"/>
    <row r="4" spans="2:35" ht="15" customHeight="1"/>
    <row r="5" spans="2:35" ht="15" customHeight="1"/>
    <row r="6" spans="2:35">
      <c r="D6" s="379" t="s">
        <v>491</v>
      </c>
      <c r="E6" s="380"/>
      <c r="F6" s="380"/>
      <c r="G6" s="381"/>
    </row>
    <row r="7" spans="2:35" ht="15" customHeight="1">
      <c r="D7" s="283" t="s">
        <v>229</v>
      </c>
      <c r="E7" s="283" t="s">
        <v>27</v>
      </c>
      <c r="F7" s="283" t="s">
        <v>106</v>
      </c>
      <c r="G7" s="283" t="s">
        <v>230</v>
      </c>
    </row>
    <row r="8" spans="2:35" ht="15" customHeight="1">
      <c r="D8" s="382" t="s">
        <v>364</v>
      </c>
      <c r="E8" s="383"/>
      <c r="F8" s="384"/>
      <c r="G8" s="177" t="s">
        <v>112</v>
      </c>
    </row>
    <row r="9" spans="2:35" ht="31.5">
      <c r="B9" s="14" t="s">
        <v>365</v>
      </c>
      <c r="C9" s="14"/>
      <c r="D9" s="14"/>
      <c r="E9" s="14"/>
      <c r="F9" s="14"/>
      <c r="H9" s="14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</row>
    <row r="10" spans="2:35" ht="15" customHeight="1"/>
    <row r="11" spans="2:35" ht="21">
      <c r="B11" s="17" t="s">
        <v>367</v>
      </c>
      <c r="C11" s="17"/>
      <c r="D11" s="17"/>
      <c r="E11" s="17"/>
      <c r="F11" s="17"/>
      <c r="H11" s="37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spans="2:35" ht="15" customHeight="1">
      <c r="B12" s="376" t="s">
        <v>365</v>
      </c>
      <c r="C12" s="377"/>
      <c r="D12" s="377"/>
      <c r="E12" s="377"/>
      <c r="F12" s="378"/>
      <c r="G12" s="284" t="s">
        <v>366</v>
      </c>
    </row>
    <row r="13" spans="2:35" ht="15" customHeight="1">
      <c r="B13" s="385" t="s">
        <v>447</v>
      </c>
      <c r="C13" s="386"/>
      <c r="D13" s="386"/>
      <c r="E13" s="386"/>
      <c r="F13" s="387"/>
      <c r="G13" s="178" t="str">
        <f>IF(ISERROR(VLOOKUP("Q",Предпосылки!AS55:AS78,1,FALSE))=TRUE,"R","Q")</f>
        <v>R</v>
      </c>
    </row>
    <row r="14" spans="2:35" ht="15" customHeight="1">
      <c r="B14" s="385" t="str">
        <f>Предпосылки!B97</f>
        <v>Сумма бюджета проекта первышает установленный минимум</v>
      </c>
      <c r="C14" s="386"/>
      <c r="D14" s="386"/>
      <c r="E14" s="386"/>
      <c r="F14" s="387"/>
      <c r="G14" s="178" t="str">
        <f>Предпосылки!F97</f>
        <v>R</v>
      </c>
    </row>
    <row r="15" spans="2:35" ht="15" customHeight="1">
      <c r="B15" s="385" t="str">
        <f>Предпосылки!B98</f>
        <v>Сумма займа не превышает верхний предел</v>
      </c>
      <c r="C15" s="386"/>
      <c r="D15" s="386"/>
      <c r="E15" s="386"/>
      <c r="F15" s="387"/>
      <c r="G15" s="178" t="str">
        <f>Предпосылки!F98</f>
        <v>R</v>
      </c>
    </row>
    <row r="16" spans="2:35" ht="15" customHeight="1">
      <c r="B16" s="385" t="str">
        <f>Предпосылки!B99</f>
        <v>Сумма софинансирования равна или больше 20%</v>
      </c>
      <c r="C16" s="386"/>
      <c r="D16" s="386"/>
      <c r="E16" s="386"/>
      <c r="F16" s="387"/>
      <c r="G16" s="178" t="str">
        <f>Предпосылки!F99</f>
        <v>R</v>
      </c>
    </row>
    <row r="17" spans="2:20" ht="15" customHeight="1">
      <c r="B17" s="385" t="str">
        <f>Предпосылки!B100</f>
        <v>Структура займа в рамках стандарта</v>
      </c>
      <c r="C17" s="386"/>
      <c r="D17" s="386"/>
      <c r="E17" s="386"/>
      <c r="F17" s="387"/>
      <c r="G17" s="178" t="str">
        <f>Предпосылки!F100</f>
        <v>R</v>
      </c>
    </row>
    <row r="18" spans="2:20" ht="15" customHeight="1">
      <c r="B18" s="385" t="str">
        <f>Предпосылки!B101</f>
        <v xml:space="preserve">Льготная ставка по приобретению отечественного оборудования выбрана корректно </v>
      </c>
      <c r="C18" s="386"/>
      <c r="D18" s="386"/>
      <c r="E18" s="386"/>
      <c r="F18" s="387"/>
      <c r="G18" s="178" t="str">
        <f>Предпосылки!F101</f>
        <v>R</v>
      </c>
    </row>
    <row r="19" spans="2:20" ht="15" customHeight="1">
      <c r="B19" s="385" t="s">
        <v>207</v>
      </c>
      <c r="C19" s="386"/>
      <c r="D19" s="386"/>
      <c r="E19" s="386"/>
      <c r="F19" s="387"/>
      <c r="G19" s="31" t="str">
        <f>Предпосылки!F371</f>
        <v>R</v>
      </c>
    </row>
    <row r="20" spans="2:20" ht="15" customHeight="1">
      <c r="B20" s="385" t="s">
        <v>362</v>
      </c>
      <c r="C20" s="386"/>
      <c r="D20" s="386"/>
      <c r="E20" s="386"/>
      <c r="F20" s="387"/>
      <c r="G20" s="31" t="str">
        <f>Предпосылки!F372</f>
        <v>R</v>
      </c>
    </row>
    <row r="21" spans="2:20" ht="15" customHeight="1">
      <c r="B21" s="385" t="s">
        <v>368</v>
      </c>
      <c r="C21" s="386"/>
      <c r="D21" s="386"/>
      <c r="E21" s="386"/>
      <c r="F21" s="387"/>
      <c r="G21" s="31" t="str">
        <f>Предпосылки!F373</f>
        <v>R</v>
      </c>
    </row>
    <row r="22" spans="2:20" ht="15" customHeight="1">
      <c r="B22" s="19"/>
      <c r="C22" s="19"/>
      <c r="D22" s="19"/>
      <c r="E22" s="19"/>
      <c r="F22" s="19"/>
    </row>
    <row r="23" spans="2:20" ht="21">
      <c r="B23" s="17" t="s">
        <v>369</v>
      </c>
      <c r="C23" s="17"/>
      <c r="D23" s="17"/>
      <c r="E23" s="17"/>
      <c r="F23" s="17"/>
      <c r="H23" s="37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</row>
    <row r="24" spans="2:20" ht="15" customHeight="1">
      <c r="B24" s="376" t="s">
        <v>365</v>
      </c>
      <c r="C24" s="377"/>
      <c r="D24" s="377"/>
      <c r="E24" s="377"/>
      <c r="F24" s="378"/>
      <c r="G24" s="285" t="s">
        <v>366</v>
      </c>
    </row>
    <row r="25" spans="2:20" ht="15" customHeight="1">
      <c r="B25" s="373" t="s">
        <v>448</v>
      </c>
      <c r="C25" s="374"/>
      <c r="D25" s="374"/>
      <c r="E25" s="374"/>
      <c r="F25" s="375"/>
      <c r="G25" s="178"/>
    </row>
    <row r="26" spans="2:20" ht="15" customHeight="1">
      <c r="B26" s="373" t="str">
        <f>'Квартальная отчетность'!H155</f>
        <v>Проверка отсутствия отрицательных остатков в течение срока займа</v>
      </c>
      <c r="C26" s="374"/>
      <c r="D26" s="374"/>
      <c r="E26" s="374"/>
      <c r="F26" s="375"/>
      <c r="G26" s="178" t="str">
        <f ca="1">'Квартальная отчетность'!J155</f>
        <v>Q</v>
      </c>
    </row>
    <row r="27" spans="2:20" ht="15" customHeight="1">
      <c r="B27" s="373" t="str">
        <f>'Квартальная отчетность'!H156</f>
        <v>Проверка отсутствия отрицательных остатков в течение всех периодов</v>
      </c>
      <c r="C27" s="374"/>
      <c r="D27" s="374"/>
      <c r="E27" s="374"/>
      <c r="F27" s="375"/>
      <c r="G27" s="178" t="str">
        <f ca="1">'Квартальная отчетность'!J156</f>
        <v>Q</v>
      </c>
    </row>
    <row r="28" spans="2:20" ht="15" customHeight="1">
      <c r="B28" s="373" t="s">
        <v>449</v>
      </c>
      <c r="C28" s="374"/>
      <c r="D28" s="374"/>
      <c r="E28" s="374"/>
      <c r="F28" s="375"/>
      <c r="G28" s="178"/>
    </row>
    <row r="29" spans="2:20" ht="15" customHeight="1">
      <c r="B29" s="373" t="str">
        <f>'Квартальная отчетность'!H239</f>
        <v>Проверка отсутствия отрицательных остатков в течение срока займа</v>
      </c>
      <c r="C29" s="374"/>
      <c r="D29" s="374"/>
      <c r="E29" s="374"/>
      <c r="F29" s="375"/>
      <c r="G29" s="178" t="str">
        <f ca="1">'Квартальная отчетность'!J239</f>
        <v>R</v>
      </c>
    </row>
    <row r="30" spans="2:20" ht="15" customHeight="1">
      <c r="B30" s="373" t="str">
        <f>'Квартальная отчетность'!H240</f>
        <v>Проверка отсутствия отрицательных остатков в течение всех периодов</v>
      </c>
      <c r="C30" s="374"/>
      <c r="D30" s="374"/>
      <c r="E30" s="374"/>
      <c r="F30" s="375"/>
      <c r="G30" s="178" t="str">
        <f ca="1">'Квартальная отчетность'!J240</f>
        <v>R</v>
      </c>
    </row>
    <row r="31" spans="2:20" ht="15" customHeight="1">
      <c r="B31" s="373" t="s">
        <v>450</v>
      </c>
      <c r="C31" s="374"/>
      <c r="D31" s="374"/>
      <c r="E31" s="374"/>
      <c r="F31" s="375"/>
      <c r="G31" s="178"/>
    </row>
    <row r="32" spans="2:20" ht="15" customHeight="1">
      <c r="B32" s="373" t="str">
        <f>'Квартальная отчетность'!H311</f>
        <v>Проверка отсутствия отрицательных остатков в течение срока займа</v>
      </c>
      <c r="C32" s="374"/>
      <c r="D32" s="374"/>
      <c r="E32" s="374"/>
      <c r="F32" s="375"/>
      <c r="G32" s="178" t="str">
        <f ca="1">'Квартальная отчетность'!J311</f>
        <v>Q</v>
      </c>
    </row>
    <row r="33" spans="2:20" ht="15" customHeight="1">
      <c r="B33" s="373" t="str">
        <f>'Квартальная отчетность'!H312</f>
        <v>Проверка отсутствия отрицательных остатков в течение всех периодов</v>
      </c>
      <c r="C33" s="374"/>
      <c r="D33" s="374"/>
      <c r="E33" s="374"/>
      <c r="F33" s="375"/>
      <c r="G33" s="178" t="str">
        <f ca="1">'Квартальная отчетность'!J312</f>
        <v>Q</v>
      </c>
    </row>
    <row r="34" spans="2:20" ht="15" customHeight="1">
      <c r="B34" s="19"/>
      <c r="C34" s="19"/>
      <c r="D34" s="19"/>
      <c r="E34" s="19"/>
      <c r="F34" s="19"/>
    </row>
    <row r="35" spans="2:20" ht="21">
      <c r="B35" s="17" t="s">
        <v>371</v>
      </c>
      <c r="C35" s="17"/>
      <c r="D35" s="17"/>
      <c r="E35" s="17"/>
      <c r="F35" s="17"/>
      <c r="H35" s="37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</row>
    <row r="36" spans="2:20" ht="15" customHeight="1">
      <c r="B36" s="376" t="s">
        <v>365</v>
      </c>
      <c r="C36" s="377"/>
      <c r="D36" s="377"/>
      <c r="E36" s="377"/>
      <c r="F36" s="378"/>
      <c r="G36" s="285" t="s">
        <v>366</v>
      </c>
    </row>
    <row r="37" spans="2:20" ht="15" customHeight="1">
      <c r="B37" s="385" t="s">
        <v>370</v>
      </c>
      <c r="C37" s="386"/>
      <c r="D37" s="386"/>
      <c r="E37" s="386"/>
      <c r="F37" s="387"/>
      <c r="G37" s="31" t="str">
        <f>'[2]Годовая отчетность'!C381</f>
        <v>R</v>
      </c>
    </row>
    <row r="38" spans="2:20" ht="15" customHeight="1">
      <c r="B38" s="19"/>
      <c r="C38" s="19"/>
      <c r="D38" s="19"/>
      <c r="E38" s="19"/>
      <c r="F38" s="19"/>
    </row>
    <row r="39" spans="2:20" ht="15" customHeight="1">
      <c r="B39" s="388" t="s">
        <v>372</v>
      </c>
      <c r="C39" s="389"/>
      <c r="D39" s="389"/>
      <c r="E39" s="389"/>
      <c r="F39" s="390"/>
      <c r="G39" s="31" t="str">
        <f ca="1">IF(COUNTIF(G11:G37,"Q")&gt;0,"Q","R")</f>
        <v>Q</v>
      </c>
    </row>
    <row r="40" spans="2:20" ht="15" customHeight="1"/>
    <row r="41" spans="2:20" ht="15" customHeight="1"/>
    <row r="42" spans="2:20" ht="15" customHeight="1"/>
    <row r="43" spans="2:20" ht="15" customHeight="1"/>
    <row r="44" spans="2:20" ht="15" customHeight="1"/>
    <row r="45" spans="2:20" ht="15" customHeight="1"/>
    <row r="46" spans="2:20" ht="15" customHeight="1"/>
    <row r="47" spans="2:20" ht="15" customHeight="1"/>
    <row r="48" spans="2:20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</sheetData>
  <sheetProtection algorithmName="SHA-512" hashValue="VRJri0h3EUc3isHW2qkWf3kOn0TegBKezQ5uFFW8Dj9PElSSC+HjeULouytO5mpSIumVF24nHlKyZM6fzSPKpQ==" saltValue="fr6Ech+paIwsBHz5kFd01w==" spinCount="100000" sheet="1" objects="1" scenarios="1"/>
  <mergeCells count="25">
    <mergeCell ref="B36:F36"/>
    <mergeCell ref="B39:F39"/>
    <mergeCell ref="B37:F37"/>
    <mergeCell ref="B14:F14"/>
    <mergeCell ref="B15:F15"/>
    <mergeCell ref="B16:F16"/>
    <mergeCell ref="B17:F17"/>
    <mergeCell ref="B18:F18"/>
    <mergeCell ref="B19:F19"/>
    <mergeCell ref="B33:F33"/>
    <mergeCell ref="B26:F26"/>
    <mergeCell ref="B27:F27"/>
    <mergeCell ref="B28:F28"/>
    <mergeCell ref="B29:F29"/>
    <mergeCell ref="B30:F30"/>
    <mergeCell ref="B31:F31"/>
    <mergeCell ref="B32:F32"/>
    <mergeCell ref="B12:F12"/>
    <mergeCell ref="D6:G6"/>
    <mergeCell ref="D8:F8"/>
    <mergeCell ref="B13:F13"/>
    <mergeCell ref="B20:F20"/>
    <mergeCell ref="B21:F21"/>
    <mergeCell ref="B24:F24"/>
    <mergeCell ref="B25:F25"/>
  </mergeCells>
  <conditionalFormatting sqref="D8">
    <cfRule type="expression" dxfId="7" priority="5">
      <formula>$G$8="Q"</formula>
    </cfRule>
    <cfRule type="expression" dxfId="6" priority="6">
      <formula>$G$8="R"</formula>
    </cfRule>
  </conditionalFormatting>
  <conditionalFormatting sqref="G8 G13:G21 G37">
    <cfRule type="cellIs" dxfId="5" priority="7" operator="equal">
      <formula>"Q"</formula>
    </cfRule>
    <cfRule type="cellIs" dxfId="4" priority="8" operator="equal">
      <formula>"R"</formula>
    </cfRule>
  </conditionalFormatting>
  <conditionalFormatting sqref="G25:G33">
    <cfRule type="cellIs" dxfId="3" priority="1" operator="equal">
      <formula>"Q"</formula>
    </cfRule>
    <cfRule type="cellIs" dxfId="2" priority="2" operator="equal">
      <formula>"R"</formula>
    </cfRule>
  </conditionalFormatting>
  <conditionalFormatting sqref="G39">
    <cfRule type="cellIs" dxfId="1" priority="21" operator="equal">
      <formula>"Q"</formula>
    </cfRule>
    <cfRule type="cellIs" dxfId="0" priority="22" operator="equal">
      <formula>"R"</formula>
    </cfRule>
  </conditionalFormatting>
  <hyperlinks>
    <hyperlink ref="D8:F8" location="Проверка!A1" tooltip="Перейти на лист Проверка" display="Проверка!A1" xr:uid="{00000000-0004-0000-0900-000000000000}"/>
    <hyperlink ref="D7" location="Руководство!A1" tooltip="Перейти на лист Руководство" display="Руководство" xr:uid="{00000000-0004-0000-0900-000001000000}"/>
    <hyperlink ref="E7" location="'Параметры займа'!A1" tooltip="Перейти на лист Параметры займа" display="Параметры займа" xr:uid="{00000000-0004-0000-0900-000002000000}"/>
    <hyperlink ref="F7" location="Предпосылки!A1" tooltip="Перейти на лист Предпосылки" display="Предпосылки" xr:uid="{00000000-0004-0000-0900-000003000000}"/>
    <hyperlink ref="G7" location="Выводы!A1" tooltip="Перейти на лист Выводы" display="Выводы" xr:uid="{00000000-0004-0000-0900-000004000000}"/>
    <hyperlink ref="G8" location="Проверка!A1" tooltip="Перейти на лист Проверка" display="Проверка!A1" xr:uid="{00000000-0004-0000-0900-000005000000}"/>
    <hyperlink ref="D6" r:id="rId1" xr:uid="{00000000-0004-0000-0900-000006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O41"/>
  <sheetViews>
    <sheetView topLeftCell="A4" workbookViewId="0">
      <selection activeCell="H1" sqref="H1"/>
    </sheetView>
  </sheetViews>
  <sheetFormatPr defaultColWidth="0" defaultRowHeight="15" customHeight="1" zeroHeight="1" outlineLevelRow="1"/>
  <cols>
    <col min="1" max="1" width="3.42578125" style="1" customWidth="1"/>
    <col min="2" max="2" width="29.5703125" style="1" customWidth="1"/>
    <col min="3" max="3" width="17.140625" style="1" customWidth="1"/>
    <col min="4" max="4" width="13.5703125" style="1" customWidth="1"/>
    <col min="5" max="5" width="13.7109375" style="1" customWidth="1"/>
    <col min="6" max="6" width="17.28515625" style="1" customWidth="1"/>
    <col min="7" max="7" width="91.28515625" style="1" customWidth="1"/>
    <col min="8" max="8" width="6.140625" style="1" customWidth="1"/>
    <col min="9" max="9" width="9.140625" style="1" hidden="1" customWidth="1"/>
    <col min="10" max="15" width="0" style="1" hidden="1" customWidth="1"/>
    <col min="16" max="16384" width="9.140625" style="1" hidden="1"/>
  </cols>
  <sheetData>
    <row r="1" spans="2:7" ht="15" customHeight="1"/>
    <row r="2" spans="2:7" ht="15" customHeight="1"/>
    <row r="3" spans="2:7" ht="15" customHeight="1"/>
    <row r="4" spans="2:7" ht="15" customHeight="1"/>
    <row r="5" spans="2:7"/>
    <row r="6" spans="2:7"/>
    <row r="7" spans="2:7"/>
    <row r="8" spans="2:7"/>
    <row r="9" spans="2:7" ht="31.5">
      <c r="B9" s="148" t="s">
        <v>3</v>
      </c>
      <c r="C9" s="149"/>
      <c r="D9" s="149"/>
      <c r="E9" s="149"/>
      <c r="F9" s="149"/>
      <c r="G9" s="149"/>
    </row>
    <row r="10" spans="2:7">
      <c r="B10" s="150"/>
      <c r="C10" s="150"/>
      <c r="D10" s="150"/>
      <c r="E10" s="150"/>
      <c r="F10" s="150"/>
      <c r="G10" s="150"/>
    </row>
    <row r="11" spans="2:7" ht="21">
      <c r="B11" s="151" t="s">
        <v>4</v>
      </c>
      <c r="C11" s="152"/>
      <c r="D11" s="152"/>
      <c r="E11" s="152"/>
      <c r="F11" s="152"/>
      <c r="G11" s="152"/>
    </row>
    <row r="12" spans="2:7">
      <c r="B12" s="325" t="s">
        <v>5</v>
      </c>
      <c r="C12" s="326" t="s">
        <v>6</v>
      </c>
      <c r="D12" s="326" t="s">
        <v>7</v>
      </c>
      <c r="E12" s="327" t="s">
        <v>8</v>
      </c>
      <c r="F12" s="326" t="s">
        <v>9</v>
      </c>
      <c r="G12" s="325" t="s">
        <v>10</v>
      </c>
    </row>
    <row r="13" spans="2:7">
      <c r="B13" s="325"/>
      <c r="C13" s="326"/>
      <c r="D13" s="326"/>
      <c r="E13" s="327"/>
      <c r="F13" s="326"/>
      <c r="G13" s="325"/>
    </row>
    <row r="14" spans="2:7">
      <c r="B14" s="325"/>
      <c r="C14" s="326"/>
      <c r="D14" s="326"/>
      <c r="E14" s="327"/>
      <c r="F14" s="326"/>
      <c r="G14" s="325"/>
    </row>
    <row r="15" spans="2:7" ht="80.25" customHeight="1">
      <c r="B15" s="155" t="s">
        <v>11</v>
      </c>
      <c r="C15" s="156">
        <v>5000</v>
      </c>
      <c r="D15" s="156">
        <v>30000</v>
      </c>
      <c r="E15" s="157">
        <v>60</v>
      </c>
      <c r="F15" s="158">
        <v>7.0000000000000007E-2</v>
      </c>
      <c r="G15" s="159" t="s">
        <v>98</v>
      </c>
    </row>
    <row r="16" spans="2:7">
      <c r="B16" s="153"/>
      <c r="C16" s="153"/>
      <c r="D16" s="153"/>
      <c r="E16" s="153"/>
      <c r="F16" s="153"/>
      <c r="G16" s="153"/>
    </row>
    <row r="17" spans="2:9" ht="21">
      <c r="B17" s="151" t="s">
        <v>99</v>
      </c>
      <c r="C17" s="152"/>
      <c r="D17" s="152"/>
      <c r="E17" s="152"/>
      <c r="F17" s="152"/>
      <c r="G17" s="152"/>
    </row>
    <row r="18" spans="2:9" ht="15" customHeight="1">
      <c r="B18" s="325" t="s">
        <v>5</v>
      </c>
      <c r="C18" s="325" t="s">
        <v>329</v>
      </c>
      <c r="D18" s="325" t="s">
        <v>12</v>
      </c>
      <c r="E18" s="325"/>
      <c r="F18" s="325"/>
      <c r="G18" s="325" t="s">
        <v>10</v>
      </c>
      <c r="I18" s="46"/>
    </row>
    <row r="19" spans="2:9">
      <c r="B19" s="325"/>
      <c r="C19" s="325"/>
      <c r="D19" s="325"/>
      <c r="E19" s="325"/>
      <c r="F19" s="325"/>
      <c r="G19" s="325"/>
      <c r="I19" s="46"/>
    </row>
    <row r="20" spans="2:9" ht="21" customHeight="1">
      <c r="B20" s="325"/>
      <c r="C20" s="325"/>
      <c r="D20" s="325"/>
      <c r="E20" s="325"/>
      <c r="F20" s="325"/>
      <c r="G20" s="325"/>
      <c r="I20" s="46"/>
    </row>
    <row r="21" spans="2:9" ht="15" customHeight="1">
      <c r="B21" s="161" t="s">
        <v>11</v>
      </c>
      <c r="C21" s="163">
        <v>0.04</v>
      </c>
      <c r="D21" s="324">
        <v>60</v>
      </c>
      <c r="E21" s="324"/>
      <c r="F21" s="324"/>
      <c r="G21" s="162" t="s">
        <v>539</v>
      </c>
      <c r="H21" s="48">
        <f>C21</f>
        <v>0.04</v>
      </c>
      <c r="I21" s="47"/>
    </row>
    <row r="22" spans="2:9" ht="15" customHeight="1">
      <c r="B22" s="161" t="s">
        <v>11</v>
      </c>
      <c r="C22" s="163">
        <v>0.05</v>
      </c>
      <c r="D22" s="324">
        <v>60</v>
      </c>
      <c r="E22" s="324"/>
      <c r="F22" s="324"/>
      <c r="G22" s="162" t="s">
        <v>540</v>
      </c>
      <c r="H22" s="48">
        <f t="shared" ref="H22:H25" si="0">C22</f>
        <v>0.05</v>
      </c>
    </row>
    <row r="23" spans="2:9" ht="31.15" customHeight="1">
      <c r="B23" s="161" t="s">
        <v>11</v>
      </c>
      <c r="C23" s="163">
        <v>0.05</v>
      </c>
      <c r="D23" s="324">
        <v>60</v>
      </c>
      <c r="E23" s="324"/>
      <c r="F23" s="324"/>
      <c r="G23" s="162" t="s">
        <v>100</v>
      </c>
      <c r="H23" s="48">
        <f t="shared" si="0"/>
        <v>0.05</v>
      </c>
    </row>
    <row r="24" spans="2:9" ht="15" customHeight="1">
      <c r="B24" s="161" t="s">
        <v>11</v>
      </c>
      <c r="C24" s="163">
        <v>0.05</v>
      </c>
      <c r="D24" s="324">
        <v>60</v>
      </c>
      <c r="E24" s="324"/>
      <c r="F24" s="324"/>
      <c r="G24" s="162" t="s">
        <v>101</v>
      </c>
      <c r="H24" s="48">
        <f t="shared" si="0"/>
        <v>0.05</v>
      </c>
    </row>
    <row r="25" spans="2:9" ht="15" customHeight="1">
      <c r="B25" s="161" t="s">
        <v>11</v>
      </c>
      <c r="C25" s="163">
        <v>0.1</v>
      </c>
      <c r="D25" s="324">
        <v>60</v>
      </c>
      <c r="E25" s="324"/>
      <c r="F25" s="324"/>
      <c r="G25" s="162" t="s">
        <v>102</v>
      </c>
      <c r="H25" s="48">
        <f t="shared" si="0"/>
        <v>0.1</v>
      </c>
    </row>
    <row r="26" spans="2:9">
      <c r="B26" s="153"/>
      <c r="C26" s="153"/>
      <c r="D26" s="153"/>
      <c r="E26" s="153"/>
      <c r="F26" s="153"/>
      <c r="G26" s="44" t="s">
        <v>105</v>
      </c>
      <c r="H26" s="48">
        <f>F15</f>
        <v>7.0000000000000007E-2</v>
      </c>
    </row>
    <row r="27" spans="2:9" ht="21">
      <c r="B27" s="151" t="s">
        <v>13</v>
      </c>
      <c r="C27" s="152"/>
      <c r="D27" s="152"/>
      <c r="E27" s="152"/>
      <c r="F27" s="152"/>
      <c r="G27" s="152"/>
    </row>
    <row r="28" spans="2:9" ht="75">
      <c r="B28" s="160" t="s">
        <v>5</v>
      </c>
      <c r="C28" s="160" t="s">
        <v>14</v>
      </c>
      <c r="D28" s="160" t="s">
        <v>15</v>
      </c>
      <c r="E28" s="160" t="s">
        <v>16</v>
      </c>
      <c r="F28" s="160" t="s">
        <v>17</v>
      </c>
      <c r="G28" s="154"/>
    </row>
    <row r="29" spans="2:9">
      <c r="B29" s="155" t="s">
        <v>11</v>
      </c>
      <c r="C29" s="158">
        <v>0.2</v>
      </c>
      <c r="D29" s="158">
        <v>0</v>
      </c>
      <c r="E29" s="156">
        <f>C15/(1-C29)</f>
        <v>6250</v>
      </c>
      <c r="F29" s="156">
        <f>E29*C29</f>
        <v>1250</v>
      </c>
      <c r="G29" s="154"/>
    </row>
    <row r="30" spans="2:9">
      <c r="B30" s="153"/>
      <c r="C30" s="153"/>
      <c r="D30" s="153"/>
      <c r="E30" s="153"/>
      <c r="F30" s="153"/>
      <c r="G30" s="153"/>
    </row>
    <row r="31" spans="2:9" ht="21">
      <c r="B31" s="151" t="s">
        <v>327</v>
      </c>
      <c r="C31" s="152"/>
      <c r="D31" s="152"/>
      <c r="E31" s="152"/>
      <c r="F31" s="152"/>
      <c r="G31" s="152"/>
    </row>
    <row r="32" spans="2:9" ht="42.6" customHeight="1">
      <c r="B32" s="164" t="s">
        <v>328</v>
      </c>
      <c r="C32" s="164" t="s">
        <v>330</v>
      </c>
      <c r="D32" s="153"/>
      <c r="E32" s="153"/>
      <c r="F32" s="153"/>
      <c r="G32" s="153"/>
    </row>
    <row r="33" spans="2:7" ht="15.6" customHeight="1" outlineLevel="1">
      <c r="B33" s="165" t="s">
        <v>351</v>
      </c>
      <c r="C33" s="167"/>
      <c r="D33" s="153"/>
      <c r="E33" s="153"/>
      <c r="F33" s="153"/>
      <c r="G33" s="153"/>
    </row>
    <row r="34" spans="2:7" ht="16.899999999999999" customHeight="1">
      <c r="B34" s="165" t="s">
        <v>323</v>
      </c>
      <c r="C34" s="167"/>
    </row>
    <row r="35" spans="2:7" ht="31.9" customHeight="1">
      <c r="B35" s="165" t="s">
        <v>324</v>
      </c>
      <c r="C35" s="167">
        <v>0.3</v>
      </c>
    </row>
    <row r="36" spans="2:7" ht="15" customHeight="1">
      <c r="B36" s="165" t="s">
        <v>325</v>
      </c>
      <c r="C36" s="168"/>
    </row>
    <row r="37" spans="2:7" ht="15" customHeight="1">
      <c r="B37" s="165" t="s">
        <v>326</v>
      </c>
      <c r="C37" s="168"/>
    </row>
    <row r="38" spans="2:7" ht="15" customHeight="1">
      <c r="B38" s="165" t="s">
        <v>331</v>
      </c>
      <c r="C38" s="168"/>
    </row>
    <row r="39" spans="2:7" ht="15" customHeight="1">
      <c r="B39" s="166" t="s">
        <v>332</v>
      </c>
      <c r="C39" s="169">
        <v>0.5</v>
      </c>
    </row>
    <row r="40" spans="2:7" ht="15" customHeight="1">
      <c r="B40" s="166" t="s">
        <v>333</v>
      </c>
      <c r="C40" s="169">
        <v>0.1</v>
      </c>
    </row>
    <row r="41" spans="2:7" ht="15" customHeight="1"/>
  </sheetData>
  <sheetProtection algorithmName="SHA-512" hashValue="KLV5qKugfOKHfpH14MIsgLXqi07EbUn3gz2FN4DWQ52sdimZvAVVZYJUL1zylDjDiuwIBm8VWc2vxDRl/BSTtw==" saltValue="qCE03/mlg7k+r2dfjpEASw==" spinCount="100000" sheet="1" objects="1" scenarios="1"/>
  <mergeCells count="15">
    <mergeCell ref="B18:B20"/>
    <mergeCell ref="C18:C20"/>
    <mergeCell ref="G18:G20"/>
    <mergeCell ref="D18:F20"/>
    <mergeCell ref="G12:G14"/>
    <mergeCell ref="B12:B14"/>
    <mergeCell ref="C12:C14"/>
    <mergeCell ref="D12:D14"/>
    <mergeCell ref="E12:E14"/>
    <mergeCell ref="F12:F14"/>
    <mergeCell ref="D25:F25"/>
    <mergeCell ref="D21:F21"/>
    <mergeCell ref="D22:F22"/>
    <mergeCell ref="D23:F23"/>
    <mergeCell ref="D24:F2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E84"/>
  <sheetViews>
    <sheetView topLeftCell="A7" workbookViewId="0">
      <selection activeCell="A25" sqref="A25"/>
    </sheetView>
  </sheetViews>
  <sheetFormatPr defaultRowHeight="15"/>
  <cols>
    <col min="1" max="1" width="37.28515625" customWidth="1"/>
  </cols>
  <sheetData>
    <row r="1" spans="1:2">
      <c r="A1">
        <v>1</v>
      </c>
      <c r="B1">
        <v>1</v>
      </c>
    </row>
    <row r="2" spans="1:2">
      <c r="A2">
        <f>A1+1</f>
        <v>2</v>
      </c>
      <c r="B2">
        <v>1</v>
      </c>
    </row>
    <row r="3" spans="1:2">
      <c r="A3">
        <f t="shared" ref="A3:A12" si="0">A2+1</f>
        <v>3</v>
      </c>
      <c r="B3">
        <v>1</v>
      </c>
    </row>
    <row r="4" spans="1:2">
      <c r="A4">
        <f t="shared" si="0"/>
        <v>4</v>
      </c>
      <c r="B4">
        <v>2</v>
      </c>
    </row>
    <row r="5" spans="1:2">
      <c r="A5">
        <f t="shared" si="0"/>
        <v>5</v>
      </c>
      <c r="B5">
        <v>2</v>
      </c>
    </row>
    <row r="6" spans="1:2">
      <c r="A6">
        <f t="shared" si="0"/>
        <v>6</v>
      </c>
      <c r="B6">
        <v>2</v>
      </c>
    </row>
    <row r="7" spans="1:2">
      <c r="A7">
        <f t="shared" si="0"/>
        <v>7</v>
      </c>
      <c r="B7">
        <v>3</v>
      </c>
    </row>
    <row r="8" spans="1:2">
      <c r="A8">
        <f t="shared" si="0"/>
        <v>8</v>
      </c>
      <c r="B8">
        <v>3</v>
      </c>
    </row>
    <row r="9" spans="1:2">
      <c r="A9">
        <f t="shared" si="0"/>
        <v>9</v>
      </c>
      <c r="B9">
        <v>3</v>
      </c>
    </row>
    <row r="10" spans="1:2">
      <c r="A10">
        <f t="shared" si="0"/>
        <v>10</v>
      </c>
      <c r="B10">
        <v>4</v>
      </c>
    </row>
    <row r="11" spans="1:2">
      <c r="A11">
        <f t="shared" si="0"/>
        <v>11</v>
      </c>
      <c r="B11">
        <v>4</v>
      </c>
    </row>
    <row r="12" spans="1:2">
      <c r="A12">
        <f t="shared" si="0"/>
        <v>12</v>
      </c>
      <c r="B12">
        <v>4</v>
      </c>
    </row>
    <row r="16" spans="1:2">
      <c r="A16" t="s">
        <v>113</v>
      </c>
      <c r="B16">
        <v>1</v>
      </c>
    </row>
    <row r="17" spans="1:5">
      <c r="A17" t="s">
        <v>114</v>
      </c>
      <c r="B17">
        <v>2</v>
      </c>
    </row>
    <row r="20" spans="1:5">
      <c r="A20" s="63">
        <v>0</v>
      </c>
    </row>
    <row r="21" spans="1:5">
      <c r="A21" s="63">
        <v>0.05</v>
      </c>
    </row>
    <row r="22" spans="1:5">
      <c r="A22" s="63">
        <v>7.0000000000000007E-2</v>
      </c>
    </row>
    <row r="23" spans="1:5">
      <c r="A23" s="63">
        <v>0.1</v>
      </c>
    </row>
    <row r="24" spans="1:5">
      <c r="A24" s="63">
        <v>0.22</v>
      </c>
    </row>
    <row r="27" spans="1:5">
      <c r="B27" t="s">
        <v>194</v>
      </c>
      <c r="C27" t="s">
        <v>322</v>
      </c>
      <c r="D27" t="s">
        <v>373</v>
      </c>
    </row>
    <row r="28" spans="1:5">
      <c r="A28" t="s">
        <v>118</v>
      </c>
      <c r="D28" s="63">
        <v>0</v>
      </c>
      <c r="E28" t="s">
        <v>114</v>
      </c>
    </row>
    <row r="29" spans="1:5">
      <c r="A29" t="s">
        <v>119</v>
      </c>
      <c r="D29" s="63">
        <v>0.05</v>
      </c>
      <c r="E29" t="s">
        <v>113</v>
      </c>
    </row>
    <row r="30" spans="1:5">
      <c r="A30" t="s">
        <v>120</v>
      </c>
      <c r="D30" s="63">
        <v>7.0000000000000007E-2</v>
      </c>
      <c r="E30" t="s">
        <v>113</v>
      </c>
    </row>
    <row r="31" spans="1:5">
      <c r="A31" t="s">
        <v>121</v>
      </c>
      <c r="B31" t="s">
        <v>113</v>
      </c>
      <c r="D31" s="63">
        <v>0.2</v>
      </c>
      <c r="E31" t="s">
        <v>113</v>
      </c>
    </row>
    <row r="32" spans="1:5">
      <c r="A32" t="s">
        <v>122</v>
      </c>
      <c r="D32" s="63">
        <v>0</v>
      </c>
      <c r="E32" t="s">
        <v>114</v>
      </c>
    </row>
    <row r="33" spans="1:5">
      <c r="A33" t="s">
        <v>123</v>
      </c>
      <c r="D33" s="63">
        <v>0.05</v>
      </c>
      <c r="E33" t="s">
        <v>113</v>
      </c>
    </row>
    <row r="34" spans="1:5">
      <c r="A34" t="s">
        <v>124</v>
      </c>
      <c r="D34" s="63">
        <v>7.0000000000000007E-2</v>
      </c>
      <c r="E34" t="s">
        <v>113</v>
      </c>
    </row>
    <row r="35" spans="1:5">
      <c r="A35" t="s">
        <v>125</v>
      </c>
      <c r="B35" t="s">
        <v>113</v>
      </c>
      <c r="D35" s="63">
        <v>0.2</v>
      </c>
      <c r="E35" t="s">
        <v>113</v>
      </c>
    </row>
    <row r="36" spans="1:5">
      <c r="A36" t="s">
        <v>126</v>
      </c>
      <c r="B36" t="s">
        <v>113</v>
      </c>
      <c r="C36" t="s">
        <v>113</v>
      </c>
      <c r="D36" s="63">
        <v>0.22</v>
      </c>
      <c r="E36" t="s">
        <v>113</v>
      </c>
    </row>
    <row r="39" spans="1:5" ht="19.5" customHeight="1">
      <c r="A39" s="35" t="s">
        <v>30</v>
      </c>
      <c r="B39" s="25">
        <f>Месяцев_в_году</f>
        <v>12</v>
      </c>
      <c r="C39" s="1"/>
      <c r="D39" s="1"/>
    </row>
    <row r="40" spans="1:5" ht="19.5" customHeight="1">
      <c r="A40" s="35" t="s">
        <v>32</v>
      </c>
      <c r="B40" s="25">
        <f>B39/B41</f>
        <v>4</v>
      </c>
      <c r="C40" s="1"/>
      <c r="D40" s="1"/>
    </row>
    <row r="41" spans="1:5" ht="19.5" customHeight="1">
      <c r="A41" s="35" t="s">
        <v>33</v>
      </c>
      <c r="B41" s="25">
        <f>Месяцев_в_квартале</f>
        <v>3</v>
      </c>
      <c r="C41" s="1"/>
      <c r="D41" s="1"/>
    </row>
    <row r="44" spans="1:5">
      <c r="A44" s="18" t="s">
        <v>181</v>
      </c>
    </row>
    <row r="45" spans="1:5">
      <c r="A45" t="s">
        <v>180</v>
      </c>
    </row>
    <row r="46" spans="1:5">
      <c r="A46" t="s">
        <v>179</v>
      </c>
    </row>
    <row r="49" spans="1:1">
      <c r="A49" t="s">
        <v>304</v>
      </c>
    </row>
    <row r="50" spans="1:1">
      <c r="A50" t="s">
        <v>305</v>
      </c>
    </row>
    <row r="53" spans="1:1">
      <c r="A53" t="s">
        <v>343</v>
      </c>
    </row>
    <row r="54" spans="1:1">
      <c r="A54" t="s">
        <v>344</v>
      </c>
    </row>
    <row r="55" spans="1:1">
      <c r="A55" t="s">
        <v>345</v>
      </c>
    </row>
    <row r="56" spans="1:1">
      <c r="A56" t="s">
        <v>346</v>
      </c>
    </row>
    <row r="57" spans="1:1">
      <c r="A57" t="s">
        <v>347</v>
      </c>
    </row>
    <row r="58" spans="1:1">
      <c r="A58" t="s">
        <v>348</v>
      </c>
    </row>
    <row r="60" spans="1:1">
      <c r="A60" t="s">
        <v>353</v>
      </c>
    </row>
    <row r="67" spans="1:2">
      <c r="A67" s="105" t="s">
        <v>239</v>
      </c>
    </row>
    <row r="68" spans="1:2">
      <c r="A68" s="105" t="s">
        <v>406</v>
      </c>
    </row>
    <row r="73" spans="1:2">
      <c r="A73" t="s">
        <v>437</v>
      </c>
      <c r="B73" t="s">
        <v>438</v>
      </c>
    </row>
    <row r="74" spans="1:2">
      <c r="A74">
        <f>Предпосылки!C375</f>
        <v>0.18</v>
      </c>
    </row>
    <row r="75" spans="1:2">
      <c r="A75">
        <f>A74*100</f>
        <v>18</v>
      </c>
    </row>
    <row r="80" spans="1:2">
      <c r="A80" s="76" t="s">
        <v>200</v>
      </c>
    </row>
    <row r="81" spans="1:1" ht="30">
      <c r="A81" s="76" t="s">
        <v>205</v>
      </c>
    </row>
    <row r="82" spans="1:1">
      <c r="A82" s="76" t="s">
        <v>206</v>
      </c>
    </row>
    <row r="83" spans="1:1">
      <c r="A83" s="76" t="s">
        <v>208</v>
      </c>
    </row>
    <row r="84" spans="1:1">
      <c r="A84" s="76" t="s">
        <v>453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AY98"/>
  <sheetViews>
    <sheetView tabSelected="1" workbookViewId="0">
      <selection activeCell="C17" sqref="C17:D17"/>
    </sheetView>
  </sheetViews>
  <sheetFormatPr defaultColWidth="0" defaultRowHeight="15" customHeight="1" zeroHeight="1"/>
  <cols>
    <col min="1" max="1" width="2.7109375" style="1" customWidth="1"/>
    <col min="2" max="2" width="35.42578125" style="1" customWidth="1"/>
    <col min="3" max="3" width="15.7109375" style="1" customWidth="1"/>
    <col min="4" max="4" width="91.42578125" style="1" customWidth="1"/>
    <col min="5" max="5" width="2.7109375" style="1" customWidth="1"/>
    <col min="6" max="7" width="30" style="1" hidden="1" customWidth="1"/>
    <col min="8" max="8" width="45.7109375" style="1" hidden="1" customWidth="1"/>
    <col min="9" max="9" width="30" style="1" hidden="1" customWidth="1"/>
    <col min="10" max="10" width="2.85546875" style="1" hidden="1" customWidth="1"/>
    <col min="11" max="11" width="20" style="1" hidden="1" customWidth="1"/>
    <col min="12" max="31" width="15.7109375" style="1" hidden="1" customWidth="1"/>
    <col min="32" max="32" width="2.85546875" style="1" hidden="1" customWidth="1"/>
    <col min="33" max="40" width="0" style="1" hidden="1" customWidth="1"/>
    <col min="41" max="42" width="15.7109375" style="1" hidden="1" customWidth="1"/>
    <col min="43" max="43" width="2.85546875" style="1" hidden="1" customWidth="1"/>
    <col min="44" max="51" width="0" style="1" hidden="1" customWidth="1"/>
    <col min="52" max="16384" width="9.140625" style="1" hidden="1"/>
  </cols>
  <sheetData>
    <row r="1" spans="2:31" ht="15" customHeight="1">
      <c r="D1" s="20" t="s">
        <v>455</v>
      </c>
    </row>
    <row r="2" spans="2:31" ht="15" customHeight="1"/>
    <row r="3" spans="2:31" ht="15" customHeight="1"/>
    <row r="4" spans="2:31" ht="15" customHeight="1"/>
    <row r="5" spans="2:31" ht="15" customHeight="1"/>
    <row r="6" spans="2:31"/>
    <row r="7" spans="2:31">
      <c r="D7" s="21"/>
    </row>
    <row r="8" spans="2:31"/>
    <row r="9" spans="2:31" ht="31.5">
      <c r="B9" s="14" t="s">
        <v>456</v>
      </c>
      <c r="C9" s="14"/>
      <c r="D9" s="14"/>
      <c r="E9" s="14"/>
      <c r="F9" s="15"/>
      <c r="G9" s="15"/>
      <c r="H9" s="15"/>
      <c r="I9" s="22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2:31" ht="31.5">
      <c r="B10" s="23" t="s">
        <v>458</v>
      </c>
      <c r="C10" s="14"/>
      <c r="D10" s="14"/>
      <c r="E10" s="14"/>
      <c r="F10" s="15"/>
      <c r="G10" s="15"/>
      <c r="H10" s="15"/>
      <c r="I10" s="22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2:31" ht="15.75" customHeight="1">
      <c r="B11" s="43" t="s">
        <v>459</v>
      </c>
      <c r="C11" s="77"/>
      <c r="D11" s="14"/>
      <c r="E11" s="14"/>
      <c r="F11" s="15"/>
      <c r="G11" s="15"/>
      <c r="H11" s="15"/>
      <c r="I11" s="22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 spans="2:31" ht="15.75" customHeight="1">
      <c r="B12" s="43" t="s">
        <v>460</v>
      </c>
      <c r="C12" s="291"/>
      <c r="D12" s="14"/>
      <c r="E12" s="14"/>
      <c r="F12" s="15"/>
      <c r="G12" s="15"/>
      <c r="H12" s="15"/>
      <c r="I12" s="22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2:31" ht="16.5" customHeight="1">
      <c r="B13" s="43" t="s">
        <v>461</v>
      </c>
      <c r="C13" s="70"/>
      <c r="D13" s="14"/>
      <c r="E13" s="14"/>
      <c r="F13" s="15"/>
      <c r="G13" s="15"/>
      <c r="H13" s="15"/>
      <c r="I13" s="22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2:31" ht="31.5">
      <c r="B14" s="23" t="s">
        <v>18</v>
      </c>
      <c r="C14" s="23"/>
      <c r="D14" s="23"/>
      <c r="E14" s="14"/>
      <c r="F14" s="15"/>
      <c r="G14" s="15"/>
      <c r="H14" s="15"/>
      <c r="I14" s="22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2:31" ht="21">
      <c r="B15" s="17" t="s">
        <v>31</v>
      </c>
      <c r="C15" s="18"/>
      <c r="D15" s="18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2:31">
      <c r="B16" s="170" t="s">
        <v>19</v>
      </c>
      <c r="C16" s="330" t="s">
        <v>20</v>
      </c>
      <c r="D16" s="331"/>
    </row>
    <row r="17" spans="2:31">
      <c r="B17" s="43" t="s">
        <v>34</v>
      </c>
      <c r="C17" s="332" t="s">
        <v>457</v>
      </c>
      <c r="D17" s="333"/>
    </row>
    <row r="18" spans="2:31">
      <c r="B18" s="38" t="s">
        <v>191</v>
      </c>
      <c r="C18" s="332" t="s">
        <v>462</v>
      </c>
      <c r="D18" s="333"/>
    </row>
    <row r="19" spans="2:31">
      <c r="B19" s="43" t="s">
        <v>21</v>
      </c>
      <c r="C19" s="332" t="s">
        <v>463</v>
      </c>
      <c r="D19" s="333"/>
    </row>
    <row r="20" spans="2:31">
      <c r="B20" s="43" t="s">
        <v>38</v>
      </c>
      <c r="C20" s="332" t="s">
        <v>465</v>
      </c>
      <c r="D20" s="333"/>
    </row>
    <row r="21" spans="2:31" ht="33.75" customHeight="1">
      <c r="B21" s="43" t="s">
        <v>42</v>
      </c>
      <c r="C21" s="328" t="s">
        <v>24</v>
      </c>
      <c r="D21" s="329"/>
    </row>
    <row r="22" spans="2:31">
      <c r="B22" s="43" t="s">
        <v>22</v>
      </c>
      <c r="C22" s="332" t="s">
        <v>23</v>
      </c>
      <c r="D22" s="333"/>
    </row>
    <row r="23" spans="2:31" ht="108.75" customHeight="1">
      <c r="B23" s="43" t="s">
        <v>46</v>
      </c>
      <c r="C23" s="328" t="s">
        <v>538</v>
      </c>
      <c r="D23" s="329"/>
    </row>
    <row r="24" spans="2:31">
      <c r="B24" s="43" t="s">
        <v>103</v>
      </c>
      <c r="C24" s="332" t="s">
        <v>464</v>
      </c>
      <c r="D24" s="333"/>
    </row>
    <row r="25" spans="2:31" ht="16.5" customHeight="1">
      <c r="B25" s="43" t="s">
        <v>104</v>
      </c>
      <c r="C25" s="334" t="s">
        <v>493</v>
      </c>
      <c r="D25" s="335"/>
    </row>
    <row r="26" spans="2:31" ht="15" customHeight="1">
      <c r="B26" s="19"/>
      <c r="C26" s="19"/>
      <c r="D26" s="19"/>
    </row>
    <row r="27" spans="2:31" ht="31.5">
      <c r="B27" s="23" t="s">
        <v>367</v>
      </c>
      <c r="C27" s="23"/>
      <c r="D27" s="23"/>
      <c r="E27" s="14"/>
      <c r="F27" s="15"/>
      <c r="G27" s="15"/>
      <c r="H27" s="15"/>
      <c r="I27" s="22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</row>
    <row r="28" spans="2:31" ht="27.75" customHeight="1">
      <c r="B28" s="17" t="s">
        <v>115</v>
      </c>
      <c r="C28" s="19"/>
      <c r="D28" s="19"/>
    </row>
    <row r="29" spans="2:31">
      <c r="B29" s="170" t="s">
        <v>19</v>
      </c>
      <c r="C29" s="330" t="s">
        <v>20</v>
      </c>
      <c r="D29" s="331"/>
    </row>
    <row r="30" spans="2:31">
      <c r="B30" s="43" t="str">
        <f>Предпосылки!B13</f>
        <v>Нименование Заявителя</v>
      </c>
      <c r="C30" s="332" t="s">
        <v>466</v>
      </c>
      <c r="D30" s="333"/>
    </row>
    <row r="31" spans="2:31">
      <c r="B31" s="43" t="str">
        <f>Предпосылки!B14</f>
        <v>Название проекта</v>
      </c>
      <c r="C31" s="334" t="s">
        <v>494</v>
      </c>
      <c r="D31" s="335"/>
    </row>
    <row r="32" spans="2:31">
      <c r="B32" s="43" t="str">
        <f>Предпосылки!B15</f>
        <v>Статус СМСП</v>
      </c>
      <c r="C32" s="332" t="s">
        <v>467</v>
      </c>
      <c r="D32" s="333"/>
    </row>
    <row r="33" spans="2:4" ht="30">
      <c r="B33" s="43" t="str">
        <f>Предпосылки!B16</f>
        <v>Применяемая система налогообложения</v>
      </c>
      <c r="C33" s="332" t="s">
        <v>468</v>
      </c>
      <c r="D33" s="333"/>
    </row>
    <row r="34" spans="2:4">
      <c r="B34" s="43" t="str">
        <f>Предпосылки!B17</f>
        <v>Комиссия годовая по БГ</v>
      </c>
      <c r="C34" s="332" t="s">
        <v>495</v>
      </c>
      <c r="D34" s="333"/>
    </row>
    <row r="35" spans="2:4">
      <c r="B35" s="43" t="str">
        <f>Предпосылки!B18</f>
        <v>Последний отчётный период</v>
      </c>
      <c r="C35" s="332" t="s">
        <v>496</v>
      </c>
      <c r="D35" s="333"/>
    </row>
    <row r="36" spans="2:4" ht="15" customHeight="1"/>
    <row r="37" spans="2:4" ht="25.5" customHeight="1">
      <c r="B37" s="17" t="str">
        <f>Предпосылки!B20</f>
        <v>Бюджет проекта</v>
      </c>
    </row>
    <row r="38" spans="2:4" ht="15" customHeight="1">
      <c r="B38" s="170" t="s">
        <v>19</v>
      </c>
      <c r="C38" s="330" t="s">
        <v>20</v>
      </c>
      <c r="D38" s="331"/>
    </row>
    <row r="39" spans="2:4" ht="105" customHeight="1">
      <c r="B39" s="43" t="str">
        <f>Предпосылки!B21</f>
        <v>Данные об объектах капитальных вложений (Оборудование, транспортные средства и спецтехника, адаптация и инжиниринг оборудования, лицензии и патенты, ОКР)</v>
      </c>
      <c r="C39" s="332" t="s">
        <v>469</v>
      </c>
      <c r="D39" s="333"/>
    </row>
    <row r="40" spans="2:4" ht="15" customHeight="1">
      <c r="B40" s="43" t="s">
        <v>470</v>
      </c>
      <c r="C40" s="332" t="s">
        <v>476</v>
      </c>
      <c r="D40" s="333"/>
    </row>
    <row r="41" spans="2:4" ht="51" customHeight="1">
      <c r="B41" s="43" t="str">
        <f>CONCATENATE(Предпосылки!B50," ",Предпосылки!B51)</f>
        <v>Оплата объектов капитальных вложений и операционных затрат по проекту Ранее понесённые затраты</v>
      </c>
      <c r="C41" s="328" t="s">
        <v>477</v>
      </c>
      <c r="D41" s="333"/>
    </row>
    <row r="42" spans="2:4" ht="75" customHeight="1">
      <c r="B42" s="43" t="str">
        <f>CONCATENATE(Предпосылки!B50," ",Предпосылки!E51)</f>
        <v>Оплата объектов капитальных вложений и операционных затрат по проекту Планируемые затраты (в т.ч. остаток задолженности)</v>
      </c>
      <c r="C42" s="332" t="s">
        <v>471</v>
      </c>
      <c r="D42" s="333"/>
    </row>
    <row r="43" spans="2:4" ht="69" customHeight="1">
      <c r="B43" s="43" t="str">
        <f>Предпосылки!N51</f>
        <v>График оплаты объектов капитальных вложений, % от суммы планируемых затрат (в т.ч. от остатка задолженности)</v>
      </c>
      <c r="C43" s="328" t="s">
        <v>501</v>
      </c>
      <c r="D43" s="333"/>
    </row>
    <row r="44" spans="2:4" ht="15" customHeight="1"/>
    <row r="45" spans="2:4" ht="27.75" customHeight="1">
      <c r="B45" s="61" t="s">
        <v>134</v>
      </c>
    </row>
    <row r="46" spans="2:4" ht="15" customHeight="1">
      <c r="B46" s="170" t="s">
        <v>19</v>
      </c>
      <c r="C46" s="330" t="s">
        <v>20</v>
      </c>
      <c r="D46" s="331"/>
    </row>
    <row r="47" spans="2:4" ht="15" customHeight="1">
      <c r="B47" s="43" t="str">
        <f>Предпосылки!B104</f>
        <v>Параметры реализуемой продукции</v>
      </c>
      <c r="C47" s="332" t="s">
        <v>472</v>
      </c>
      <c r="D47" s="333"/>
    </row>
    <row r="48" spans="2:4" ht="28.5" customHeight="1">
      <c r="B48" s="43" t="str">
        <f>Предпосылки!B127</f>
        <v>Цена за единицу продукции, тыс. в т.ч. НДС</v>
      </c>
      <c r="C48" s="332" t="s">
        <v>473</v>
      </c>
      <c r="D48" s="333"/>
    </row>
    <row r="49" spans="2:4" ht="15" customHeight="1">
      <c r="B49" s="43" t="str">
        <f>Предпосылки!B153</f>
        <v>Объем продаж в натуральном выражении</v>
      </c>
      <c r="C49" s="332" t="s">
        <v>474</v>
      </c>
      <c r="D49" s="333"/>
    </row>
    <row r="50" spans="2:4" ht="15" customHeight="1">
      <c r="B50" s="43" t="str">
        <f>Предпосылки!B182</f>
        <v>Объем продаж в стоимостном выражении без индексации, тыс. руб.</v>
      </c>
      <c r="C50" s="334" t="s">
        <v>475</v>
      </c>
      <c r="D50" s="335"/>
    </row>
    <row r="51" spans="2:4" ht="64.5" customHeight="1">
      <c r="B51" s="43" t="str">
        <f>Предпосылки!B211</f>
        <v>Норма расхода на единицу продукции и прямая себестоимость в разрезе продукции</v>
      </c>
      <c r="C51" s="328" t="s">
        <v>502</v>
      </c>
      <c r="D51" s="333"/>
    </row>
    <row r="52" spans="2:4" ht="33" customHeight="1">
      <c r="B52" s="43" t="str">
        <f>Предпосылки!B238</f>
        <v>Прямые расходы на выпуск продукции тыс. руб., в т.ч. НДС</v>
      </c>
      <c r="C52" s="334" t="str">
        <f>C50</f>
        <v>Заполняется автоматически пока без учета индексации</v>
      </c>
      <c r="D52" s="335"/>
    </row>
    <row r="53" spans="2:4" ht="33" customHeight="1">
      <c r="B53" s="43" t="str">
        <f>Предпосылки!B270</f>
        <v>Параметры общехозяйственных затрат, тыс. руб.</v>
      </c>
      <c r="C53" s="328" t="s">
        <v>478</v>
      </c>
      <c r="D53" s="333"/>
    </row>
    <row r="54" spans="2:4" ht="15" customHeight="1">
      <c r="B54" s="43" t="str">
        <f>Предпосылки!B292</f>
        <v>Численность  персонала</v>
      </c>
      <c r="C54" s="328" t="s">
        <v>503</v>
      </c>
      <c r="D54" s="333"/>
    </row>
    <row r="55" spans="2:4" ht="15" customHeight="1">
      <c r="B55" s="43" t="str">
        <f>Предпосылки!B314</f>
        <v>Количество рабочих мест, созданных в ходе реализации проекта</v>
      </c>
      <c r="C55" s="328" t="s">
        <v>504</v>
      </c>
      <c r="D55" s="333"/>
    </row>
    <row r="56" spans="2:4" ht="15" customHeight="1"/>
    <row r="57" spans="2:4" ht="30.75" customHeight="1">
      <c r="B57" s="61" t="str">
        <f>Предпосылки!B318</f>
        <v>Финансирование</v>
      </c>
    </row>
    <row r="58" spans="2:4" ht="15" customHeight="1">
      <c r="B58" s="170" t="s">
        <v>19</v>
      </c>
      <c r="C58" s="330" t="s">
        <v>20</v>
      </c>
      <c r="D58" s="331"/>
    </row>
    <row r="59" spans="2:4" ht="47.25" customHeight="1">
      <c r="B59" s="43" t="str">
        <f>Предпосылки!B319</f>
        <v>Условия и сроки привлеченные средств в проект без займа фонда, тыс. руб.</v>
      </c>
      <c r="C59" s="332" t="s">
        <v>480</v>
      </c>
      <c r="D59" s="333"/>
    </row>
    <row r="60" spans="2:4" ht="49.5" customHeight="1">
      <c r="B60" s="43" t="str">
        <f>Предпосылки!B327</f>
        <v>Графики гашения привлеченных и привлекаемых средств в проект, тыс. руб.</v>
      </c>
      <c r="C60" s="334" t="s">
        <v>481</v>
      </c>
      <c r="D60" s="335"/>
    </row>
    <row r="61" spans="2:4" ht="15" customHeight="1">
      <c r="B61" s="43" t="str">
        <f>Предпосылки!B359</f>
        <v>Структура финансирования проекта свод</v>
      </c>
      <c r="C61" s="334" t="s">
        <v>483</v>
      </c>
      <c r="D61" s="335"/>
    </row>
    <row r="62" spans="2:4" ht="15" customHeight="1">
      <c r="B62" s="43" t="str">
        <f>Предпосылки!B367</f>
        <v>Справочно объем финансирования оборотного капитала</v>
      </c>
      <c r="C62" s="334" t="s">
        <v>483</v>
      </c>
      <c r="D62" s="335"/>
    </row>
    <row r="63" spans="2:4" ht="15" customHeight="1">
      <c r="B63" s="43" t="str">
        <f>Предпосылки!B375</f>
        <v>Ставка дисконтирования</v>
      </c>
      <c r="C63" s="328" t="s">
        <v>484</v>
      </c>
      <c r="D63" s="333"/>
    </row>
    <row r="64" spans="2:4" ht="15" customHeight="1">
      <c r="B64" s="16"/>
      <c r="C64" s="18"/>
      <c r="D64" s="293"/>
    </row>
    <row r="65" spans="2:4" ht="31.5" customHeight="1">
      <c r="B65" s="61" t="str">
        <f>Предпосылки!B377</f>
        <v>Макроэкономика</v>
      </c>
      <c r="C65" s="18"/>
      <c r="D65" s="293"/>
    </row>
    <row r="66" spans="2:4" ht="15" customHeight="1">
      <c r="B66" s="170" t="s">
        <v>19</v>
      </c>
      <c r="C66" s="330" t="s">
        <v>20</v>
      </c>
      <c r="D66" s="331"/>
    </row>
    <row r="67" spans="2:4" ht="15" customHeight="1">
      <c r="B67" s="43" t="str">
        <f>Предпосылки!B378</f>
        <v>Инфляция</v>
      </c>
      <c r="C67" s="332" t="s">
        <v>506</v>
      </c>
      <c r="D67" s="333"/>
    </row>
    <row r="68" spans="2:4" ht="15" customHeight="1">
      <c r="B68" s="16"/>
      <c r="C68" s="18"/>
      <c r="D68" s="293"/>
    </row>
    <row r="69" spans="2:4" ht="26.25" customHeight="1">
      <c r="B69" s="61" t="str">
        <f>Предпосылки!B386</f>
        <v>Текущая деятельность</v>
      </c>
      <c r="C69" s="18"/>
      <c r="D69" s="293"/>
    </row>
    <row r="70" spans="2:4" ht="15" customHeight="1">
      <c r="B70" s="170" t="s">
        <v>19</v>
      </c>
      <c r="C70" s="330" t="s">
        <v>20</v>
      </c>
      <c r="D70" s="331"/>
    </row>
    <row r="71" spans="2:4" ht="49.5" customHeight="1">
      <c r="B71" s="43" t="str">
        <f>Предпосылки!B387</f>
        <v>Отчет о движении денежных средств за последние 4 квартала (не накопленным итогом)</v>
      </c>
      <c r="C71" s="332" t="s">
        <v>505</v>
      </c>
      <c r="D71" s="333"/>
    </row>
    <row r="72" spans="2:4" ht="15" customHeight="1">
      <c r="B72" s="43" t="str">
        <f>Предпосылки!B396</f>
        <v>Расчёт CFADS и DSCR за последние 4 квартала (не накопленным итогом)</v>
      </c>
      <c r="C72" s="332" t="s">
        <v>487</v>
      </c>
      <c r="D72" s="333"/>
    </row>
    <row r="73" spans="2:4" ht="15" customHeight="1">
      <c r="B73" s="16"/>
      <c r="C73" s="293"/>
      <c r="D73" s="293"/>
    </row>
    <row r="74" spans="2:4" ht="36.75" customHeight="1">
      <c r="B74" s="23" t="s">
        <v>369</v>
      </c>
      <c r="C74" s="293"/>
      <c r="D74" s="293"/>
    </row>
    <row r="75" spans="2:4" ht="25.5" customHeight="1">
      <c r="B75" s="61" t="str">
        <f>'Квартальная отчетность'!H31</f>
        <v>Проект</v>
      </c>
      <c r="C75" s="293"/>
      <c r="D75" s="293"/>
    </row>
    <row r="76" spans="2:4" ht="18.75" customHeight="1">
      <c r="B76" s="170" t="s">
        <v>19</v>
      </c>
      <c r="C76" s="330" t="s">
        <v>20</v>
      </c>
      <c r="D76" s="331"/>
    </row>
    <row r="77" spans="2:4" ht="16.5" customHeight="1">
      <c r="B77" s="43" t="str">
        <f>'Квартальная отчетность'!H32</f>
        <v>Отчет о движении денежных средств</v>
      </c>
      <c r="C77" s="334" t="s">
        <v>488</v>
      </c>
      <c r="D77" s="335"/>
    </row>
    <row r="78" spans="2:4" ht="16.5" customHeight="1">
      <c r="B78" s="16"/>
      <c r="C78" s="293"/>
      <c r="D78" s="293"/>
    </row>
    <row r="79" spans="2:4" ht="25.5" customHeight="1">
      <c r="B79" s="61" t="str">
        <f>'Квартальная отчетность'!H158</f>
        <v>Текущая деятельность</v>
      </c>
      <c r="C79" s="293"/>
      <c r="D79" s="293"/>
    </row>
    <row r="80" spans="2:4" ht="15" customHeight="1">
      <c r="B80" s="170" t="s">
        <v>19</v>
      </c>
      <c r="C80" s="330" t="s">
        <v>20</v>
      </c>
      <c r="D80" s="331"/>
    </row>
    <row r="81" spans="2:4" ht="49.5" customHeight="1">
      <c r="B81" s="43" t="str">
        <f>'Квартальная отчетность'!H159</f>
        <v>Отчет о движении денежных средств</v>
      </c>
      <c r="C81" s="328" t="s">
        <v>537</v>
      </c>
      <c r="D81" s="329"/>
    </row>
    <row r="82" spans="2:4" ht="15" customHeight="1">
      <c r="B82" s="16"/>
      <c r="C82" s="293"/>
      <c r="D82" s="293"/>
    </row>
    <row r="83" spans="2:4" ht="25.5" customHeight="1">
      <c r="B83" s="61" t="str">
        <f>'Квартальная отчетность'!H242</f>
        <v>Текущая деятельность с учетом Проекта</v>
      </c>
      <c r="C83" s="293"/>
      <c r="D83" s="293"/>
    </row>
    <row r="84" spans="2:4" ht="15" customHeight="1">
      <c r="B84" s="170" t="s">
        <v>19</v>
      </c>
      <c r="C84" s="330" t="s">
        <v>20</v>
      </c>
      <c r="D84" s="331"/>
    </row>
    <row r="85" spans="2:4" ht="15" customHeight="1">
      <c r="B85" s="43" t="str">
        <f>'Квартальная отчетность'!H243</f>
        <v>Отчет о движении денежных средств</v>
      </c>
      <c r="C85" s="334" t="s">
        <v>488</v>
      </c>
      <c r="D85" s="335"/>
    </row>
    <row r="86" spans="2:4" ht="15" customHeight="1">
      <c r="B86" s="16"/>
      <c r="C86" s="293"/>
      <c r="D86" s="293"/>
    </row>
    <row r="87" spans="2:4" ht="15" customHeight="1">
      <c r="B87" s="16"/>
      <c r="C87" s="293"/>
      <c r="D87" s="293"/>
    </row>
    <row r="88" spans="2:4" ht="25.5" customHeight="1">
      <c r="B88" s="23" t="s">
        <v>489</v>
      </c>
      <c r="C88" s="293"/>
      <c r="D88" s="293"/>
    </row>
    <row r="89" spans="2:4" ht="18" customHeight="1">
      <c r="B89" s="170" t="s">
        <v>19</v>
      </c>
      <c r="C89" s="330" t="s">
        <v>20</v>
      </c>
      <c r="D89" s="331"/>
    </row>
    <row r="90" spans="2:4" ht="15" customHeight="1">
      <c r="B90" s="43" t="s">
        <v>508</v>
      </c>
      <c r="C90" s="334" t="s">
        <v>490</v>
      </c>
      <c r="D90" s="335"/>
    </row>
    <row r="91" spans="2:4" ht="15" customHeight="1">
      <c r="B91" s="16"/>
      <c r="C91" s="293"/>
      <c r="D91" s="293"/>
    </row>
    <row r="92" spans="2:4" ht="15" customHeight="1">
      <c r="B92" s="16"/>
      <c r="C92" s="293"/>
      <c r="D92" s="293"/>
    </row>
    <row r="93" spans="2:4" ht="35.25" customHeight="1">
      <c r="B93" s="23" t="s">
        <v>492</v>
      </c>
      <c r="C93" s="293"/>
      <c r="D93" s="293"/>
    </row>
    <row r="94" spans="2:4" ht="15" customHeight="1">
      <c r="B94" s="170" t="s">
        <v>19</v>
      </c>
      <c r="C94" s="330" t="s">
        <v>20</v>
      </c>
      <c r="D94" s="331"/>
    </row>
    <row r="95" spans="2:4" ht="15" customHeight="1">
      <c r="B95" s="43" t="s">
        <v>507</v>
      </c>
      <c r="C95" s="334" t="s">
        <v>509</v>
      </c>
      <c r="D95" s="335"/>
    </row>
    <row r="96" spans="2:4" ht="15" customHeight="1">
      <c r="B96" s="16"/>
      <c r="C96" s="293"/>
      <c r="D96" s="293"/>
    </row>
    <row r="97" ht="15" customHeight="1"/>
    <row r="98" ht="15" customHeight="1"/>
  </sheetData>
  <sheetProtection algorithmName="SHA-512" hashValue="eWgC0m6Gq0FM312wogevA2gky4BTuma7E69KztDLGzdEPeKMCkydJUaIKtIn/azQCXyUVtho00VsJSYwlIxgow==" saltValue="kvZ2w6RRi1dCDJdUJCpoIw==" spinCount="100000" sheet="1" objects="1" scenarios="1"/>
  <mergeCells count="54">
    <mergeCell ref="C95:D95"/>
    <mergeCell ref="C84:D84"/>
    <mergeCell ref="C85:D85"/>
    <mergeCell ref="C90:D90"/>
    <mergeCell ref="C89:D89"/>
    <mergeCell ref="C94:D94"/>
    <mergeCell ref="C70:D70"/>
    <mergeCell ref="C71:D71"/>
    <mergeCell ref="C72:D72"/>
    <mergeCell ref="C80:D80"/>
    <mergeCell ref="C81:D81"/>
    <mergeCell ref="C76:D76"/>
    <mergeCell ref="C77:D77"/>
    <mergeCell ref="C61:D61"/>
    <mergeCell ref="C62:D62"/>
    <mergeCell ref="C63:D63"/>
    <mergeCell ref="C66:D66"/>
    <mergeCell ref="C67:D67"/>
    <mergeCell ref="C55:D55"/>
    <mergeCell ref="C58:D58"/>
    <mergeCell ref="C59:D59"/>
    <mergeCell ref="C60:D60"/>
    <mergeCell ref="C50:D50"/>
    <mergeCell ref="C51:D51"/>
    <mergeCell ref="C52:D52"/>
    <mergeCell ref="C53:D53"/>
    <mergeCell ref="C54:D54"/>
    <mergeCell ref="C46:D46"/>
    <mergeCell ref="C47:D47"/>
    <mergeCell ref="C48:D48"/>
    <mergeCell ref="C49:D49"/>
    <mergeCell ref="C35:D35"/>
    <mergeCell ref="C38:D38"/>
    <mergeCell ref="C41:D41"/>
    <mergeCell ref="C42:D42"/>
    <mergeCell ref="C43:D43"/>
    <mergeCell ref="C39:D39"/>
    <mergeCell ref="C40:D40"/>
    <mergeCell ref="C22:D22"/>
    <mergeCell ref="C31:D31"/>
    <mergeCell ref="C32:D32"/>
    <mergeCell ref="C33:D33"/>
    <mergeCell ref="C34:D34"/>
    <mergeCell ref="C30:D30"/>
    <mergeCell ref="C29:D29"/>
    <mergeCell ref="C25:D25"/>
    <mergeCell ref="C24:D24"/>
    <mergeCell ref="C23:D23"/>
    <mergeCell ref="C21:D21"/>
    <mergeCell ref="C16:D16"/>
    <mergeCell ref="C17:D17"/>
    <mergeCell ref="C18:D18"/>
    <mergeCell ref="C19:D19"/>
    <mergeCell ref="C20:D2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</sheetPr>
  <dimension ref="A1:V56"/>
  <sheetViews>
    <sheetView topLeftCell="A7" zoomScale="70" zoomScaleNormal="70" workbookViewId="0">
      <selection activeCell="F17" sqref="F17"/>
    </sheetView>
  </sheetViews>
  <sheetFormatPr defaultColWidth="2.7109375" defaultRowHeight="15" customHeight="1" zeroHeight="1" outlineLevelCol="1"/>
  <cols>
    <col min="1" max="1" width="5.85546875" style="1" customWidth="1"/>
    <col min="2" max="2" width="53.28515625" style="1" customWidth="1"/>
    <col min="3" max="3" width="36.28515625" style="1" hidden="1" customWidth="1" outlineLevel="1"/>
    <col min="4" max="5" width="23.7109375" style="1" hidden="1" customWidth="1" outlineLevel="1"/>
    <col min="6" max="6" width="26.7109375" style="1" customWidth="1" collapsed="1"/>
    <col min="7" max="7" width="29.28515625" style="1" customWidth="1"/>
    <col min="8" max="8" width="45" style="1" customWidth="1"/>
    <col min="9" max="9" width="17.140625" style="1" hidden="1" customWidth="1" outlineLevel="1"/>
    <col min="10" max="10" width="15.85546875" style="1" hidden="1" customWidth="1" outlineLevel="1"/>
    <col min="11" max="11" width="14" style="1" hidden="1" customWidth="1" outlineLevel="1"/>
    <col min="12" max="12" width="27.42578125" style="1" customWidth="1" collapsed="1"/>
    <col min="13" max="411" width="2.7109375" style="1" customWidth="1"/>
    <col min="412" max="16384" width="2.7109375" style="1"/>
  </cols>
  <sheetData>
    <row r="1" spans="2:22" ht="15" customHeight="1"/>
    <row r="2" spans="2:22" ht="15" customHeight="1"/>
    <row r="3" spans="2:22" ht="15" customHeight="1"/>
    <row r="4" spans="2:22" ht="15" customHeight="1"/>
    <row r="5" spans="2:22" ht="15" customHeight="1">
      <c r="F5" s="36"/>
      <c r="G5" s="36"/>
    </row>
    <row r="6" spans="2:22" ht="19.149999999999999" customHeight="1">
      <c r="B6" s="336" t="s">
        <v>27</v>
      </c>
      <c r="C6" s="14"/>
      <c r="D6" s="14"/>
      <c r="E6" s="14"/>
      <c r="F6" s="15"/>
      <c r="G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2:22">
      <c r="B7" s="337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2:22" ht="15" customHeight="1"/>
    <row r="9" spans="2:22" ht="25.15" customHeight="1">
      <c r="B9" s="37" t="s">
        <v>31</v>
      </c>
    </row>
    <row r="10" spans="2:22"/>
    <row r="11" spans="2:22" ht="122.25" customHeight="1">
      <c r="B11" s="43" t="s">
        <v>34</v>
      </c>
      <c r="C11" s="38" t="s">
        <v>35</v>
      </c>
      <c r="D11" s="54"/>
      <c r="E11" s="54"/>
      <c r="F11" s="28"/>
      <c r="G11" s="153"/>
      <c r="H11" s="35" t="s">
        <v>26</v>
      </c>
      <c r="L11" s="24">
        <f>DATE(YEAR(Дата_получения_Займа),ROUNDUP(MONTH(Дата_получения_Займа)/Месяцев_в_квартале,0)*Месяцев_в_квартале-2,1)</f>
        <v>46023</v>
      </c>
    </row>
    <row r="12" spans="2:22" ht="32.450000000000003" customHeight="1">
      <c r="B12" s="38" t="s">
        <v>191</v>
      </c>
      <c r="C12" s="38"/>
      <c r="D12" s="38"/>
      <c r="E12" s="38"/>
      <c r="F12" s="28"/>
      <c r="G12" s="153"/>
      <c r="H12" s="35" t="s">
        <v>28</v>
      </c>
      <c r="I12" s="14"/>
      <c r="J12" s="14"/>
      <c r="K12" s="14"/>
      <c r="L12" s="24">
        <f>IFERROR(EOMONTH(DATE(YEAR(Дата_погашения_Займа),ROUNDUP(MONTH(Дата_погашения_Займа)/Месяцев_в_квартале,0)*Месяцев_в_квартале,1),0),0)</f>
        <v>47938</v>
      </c>
    </row>
    <row r="13" spans="2:22" ht="23.45" customHeight="1">
      <c r="B13" s="43" t="s">
        <v>21</v>
      </c>
      <c r="C13" s="38" t="s">
        <v>36</v>
      </c>
      <c r="D13" s="54">
        <f>DATE(YEAR($L$17),ROUNDUP(MONTH($L$17)/Месяцев_в_квартале,0)*Месяцев_в_квартале-1,15)</f>
        <v>47894</v>
      </c>
      <c r="E13" s="54"/>
      <c r="F13" s="57" t="str">
        <f>'Программы финансирования'!B15</f>
        <v>Новые резервы</v>
      </c>
      <c r="G13" s="150" t="str">
        <f>IF(ISBLANK(Программа),"выберите программу","")</f>
        <v/>
      </c>
      <c r="H13" s="37" t="s">
        <v>37</v>
      </c>
      <c r="L13" s="16"/>
    </row>
    <row r="14" spans="2:22" ht="15" customHeight="1">
      <c r="B14" s="43" t="s">
        <v>38</v>
      </c>
      <c r="C14" s="38" t="s">
        <v>39</v>
      </c>
      <c r="D14" s="43">
        <f>MONTH(Дата_погашения_Займа)</f>
        <v>3</v>
      </c>
      <c r="E14" s="43"/>
      <c r="F14" s="26">
        <v>5000</v>
      </c>
      <c r="G14" s="290" t="str">
        <f>IF(F14&gt;'Программы финансирования'!$D$15,"не соответствует требованиям"," ")</f>
        <v xml:space="preserve"> </v>
      </c>
      <c r="H14" s="39" t="s">
        <v>41</v>
      </c>
      <c r="L14" s="27">
        <f>DATE(YEAR(L11),MONTH(L11)+2,20)</f>
        <v>46101</v>
      </c>
    </row>
    <row r="15" spans="2:22" ht="15" customHeight="1">
      <c r="B15" s="43" t="s">
        <v>42</v>
      </c>
      <c r="C15" s="38" t="s">
        <v>43</v>
      </c>
      <c r="D15" s="43">
        <f>ROUNDUP(MONTH(Дата_получения_Займа)/Месяцев_в_квартале,0)*Месяцев_в_квартале</f>
        <v>3</v>
      </c>
      <c r="E15" s="43"/>
      <c r="F15" s="28">
        <v>60</v>
      </c>
      <c r="G15" s="290" t="str">
        <f>IF(F15&gt;'Программы финансирования'!$E$15,"не соответствует требованиям"," ")</f>
        <v xml:space="preserve"> </v>
      </c>
      <c r="H15" s="39" t="s">
        <v>127</v>
      </c>
      <c r="L15" s="27">
        <f>DATE(YEAR(Дата_получения_Займа),MONTH(Дата_получения_Займа),DAY(Дата_получения_Займа)+1)</f>
        <v>46098</v>
      </c>
    </row>
    <row r="16" spans="2:22" ht="15" customHeight="1">
      <c r="B16" s="43" t="s">
        <v>22</v>
      </c>
      <c r="C16" s="38" t="s">
        <v>44</v>
      </c>
      <c r="D16" s="43">
        <f>IF(ROUNDUP(D14/3,0)=1,4,ROUNDUP(D14/3,0)-1)*Месяцев_в_квартале</f>
        <v>12</v>
      </c>
      <c r="E16" s="43"/>
      <c r="F16" s="29">
        <v>46097</v>
      </c>
      <c r="G16" s="290"/>
      <c r="H16" s="39" t="s">
        <v>45</v>
      </c>
      <c r="J16" s="36">
        <f>DATE(YEAR(Дата_получения_Займа),MONTH(Дата_получения_Займа)+(F15-F17),DAY(Дата_получения_Займа))</f>
        <v>47193</v>
      </c>
      <c r="K16" s="36"/>
      <c r="L16" s="30">
        <f>IF(MONTH(J16)&gt;9,DATE(YEAR(J16)+1,MONTH(1),DAY(15)),DATE(YEAR(B26)+(F15-F17)/12,MONTH(B26),DAY(B26)))</f>
        <v>47208</v>
      </c>
    </row>
    <row r="17" spans="1:22">
      <c r="B17" s="43" t="s">
        <v>46</v>
      </c>
      <c r="C17" s="38" t="s">
        <v>47</v>
      </c>
      <c r="D17" s="43">
        <f>YEAR(Дата_получения_Займа)</f>
        <v>2026</v>
      </c>
      <c r="E17" s="43"/>
      <c r="F17" s="28">
        <v>24</v>
      </c>
      <c r="G17" s="290" t="str">
        <f>IF(F17&gt;('Программы финансирования'!$D$21-'Программы финансирования'!$F$21),"не соответствует требованиям"," ")</f>
        <v xml:space="preserve"> </v>
      </c>
      <c r="H17" s="39" t="s">
        <v>48</v>
      </c>
      <c r="J17" s="1">
        <f>F17/3</f>
        <v>8</v>
      </c>
      <c r="L17" s="30">
        <f>DATE(YEAR(Дата_получения_Займа),MONTH(Дата_получения_Займа)+F15,DAY(Дата_получения_Займа))</f>
        <v>47923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 ht="15" customHeight="1">
      <c r="B18" s="340" t="s">
        <v>103</v>
      </c>
      <c r="C18" s="55"/>
      <c r="D18" s="56"/>
      <c r="E18" s="56"/>
      <c r="F18" s="341" t="s">
        <v>540</v>
      </c>
      <c r="G18" s="290"/>
      <c r="H18" s="39" t="s">
        <v>49</v>
      </c>
      <c r="L18" s="33">
        <f>F14/(F17/3)</f>
        <v>625</v>
      </c>
    </row>
    <row r="19" spans="1:22" ht="30.75" customHeight="1">
      <c r="B19" s="340"/>
      <c r="C19" s="38"/>
      <c r="D19" s="38"/>
      <c r="E19" s="38"/>
      <c r="F19" s="341"/>
      <c r="G19" s="290"/>
      <c r="H19" s="39" t="s">
        <v>50</v>
      </c>
      <c r="J19" s="1">
        <f>L19/1000</f>
        <v>5.9869863013698632</v>
      </c>
      <c r="L19" s="33">
        <f>F55+L55</f>
        <v>5986.9863013698632</v>
      </c>
    </row>
    <row r="20" spans="1:22" ht="18">
      <c r="B20" s="43" t="s">
        <v>104</v>
      </c>
      <c r="C20" s="55"/>
      <c r="D20" s="56"/>
      <c r="E20" s="56"/>
      <c r="F20" s="32">
        <f>IF(ISERROR(VLOOKUP('Параметры займа'!F18,'Программы финансирования'!G21:H26,2,FALSE))=TRUE,0,VLOOKUP('Параметры займа'!F18,'Программы финансирования'!G21:H26,2,FALSE))</f>
        <v>0.05</v>
      </c>
      <c r="G20" s="290"/>
      <c r="H20" s="39" t="s">
        <v>51</v>
      </c>
      <c r="J20" s="1">
        <f>ROUND(J19-INT(L19/1000)+0.1,1)</f>
        <v>1.1000000000000001</v>
      </c>
      <c r="L20" s="34">
        <f>(INT(L19/1000)+J20)*1000</f>
        <v>6100</v>
      </c>
      <c r="M20" s="16"/>
      <c r="N20" s="16"/>
      <c r="O20" s="16"/>
      <c r="P20" s="16"/>
      <c r="Q20" s="16"/>
      <c r="R20" s="16"/>
      <c r="S20" s="16"/>
      <c r="T20" s="16"/>
      <c r="U20" s="16"/>
    </row>
    <row r="21" spans="1:22" ht="15" customHeight="1">
      <c r="G21" s="40" t="s">
        <v>40</v>
      </c>
      <c r="H21" s="42"/>
      <c r="L21" s="42"/>
    </row>
    <row r="22" spans="1:22" ht="39.75" customHeight="1">
      <c r="B22" s="338" t="s">
        <v>52</v>
      </c>
      <c r="C22" s="338"/>
      <c r="D22" s="338"/>
      <c r="E22" s="338"/>
      <c r="F22" s="338"/>
      <c r="G22" s="338"/>
      <c r="H22" s="338" t="s">
        <v>53</v>
      </c>
      <c r="I22" s="338"/>
      <c r="J22" s="338"/>
      <c r="K22" s="338"/>
      <c r="L22" s="338"/>
    </row>
    <row r="23" spans="1:22" ht="18.600000000000001" customHeight="1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</row>
    <row r="24" spans="1:22" ht="15" customHeight="1">
      <c r="B24" s="339" t="s">
        <v>54</v>
      </c>
      <c r="C24" s="339" t="s">
        <v>55</v>
      </c>
      <c r="D24" s="339" t="s">
        <v>56</v>
      </c>
      <c r="E24" s="339" t="s">
        <v>128</v>
      </c>
      <c r="F24" s="339" t="s">
        <v>57</v>
      </c>
      <c r="G24" s="339" t="s">
        <v>58</v>
      </c>
      <c r="H24" s="339" t="s">
        <v>59</v>
      </c>
      <c r="I24" s="339" t="s">
        <v>55</v>
      </c>
      <c r="J24" s="339" t="s">
        <v>56</v>
      </c>
      <c r="K24" s="339" t="s">
        <v>97</v>
      </c>
      <c r="L24" s="339" t="s">
        <v>60</v>
      </c>
    </row>
    <row r="25" spans="1:22" ht="24.75" customHeight="1">
      <c r="B25" s="339"/>
      <c r="C25" s="339"/>
      <c r="D25" s="339"/>
      <c r="E25" s="339"/>
      <c r="F25" s="339"/>
      <c r="G25" s="339"/>
      <c r="H25" s="339"/>
      <c r="I25" s="339"/>
      <c r="J25" s="339"/>
      <c r="K25" s="339"/>
      <c r="L25" s="339"/>
    </row>
    <row r="26" spans="1:22" ht="15" customHeight="1">
      <c r="A26" s="44">
        <f>IF(F26=0,0,1)</f>
        <v>0</v>
      </c>
      <c r="B26" s="49">
        <f t="shared" ref="B26:B54" si="0">IF(H26="-","-",IF(H26=Дата_погашения_Займа,Дата_погашения_Займа,IF(MONTH(H26)=12,DATE(YEAR(H26)+1,MONTH(1),DAY(15)),IF(MONTH(H26)=3,DATE(YEAR(H26),MONTH(H26),DAY(31)),DATE(YEAR(H26),MONTH(H26),DAY(30))))))</f>
        <v>46112</v>
      </c>
      <c r="C26" s="50">
        <f>IF(B26="-","-",YEAR(B26))</f>
        <v>2026</v>
      </c>
      <c r="D26" s="50">
        <f>IF(ISERROR(VLOOKUP(MONTH(B26),справочник!$A$1:$B$12,2,FALSE))=TRUE,0,VLOOKUP(MONTH(B26),справочник!$A$1:$B$12,2,FALSE))</f>
        <v>1</v>
      </c>
      <c r="E26" s="50" t="str">
        <f>CONCATENATE(D26," кв"," ",C26)</f>
        <v>1 кв 2026</v>
      </c>
      <c r="F26" s="51">
        <f>IF(B26&gt;=$L$16,$L$18,0)*(IF(B26="-",0,1))</f>
        <v>0</v>
      </c>
      <c r="G26" s="51">
        <f>F14-F26</f>
        <v>5000</v>
      </c>
      <c r="H26" s="49">
        <f>L14</f>
        <v>46101</v>
      </c>
      <c r="I26" s="50">
        <f>IF(H26="-","-",YEAR(H26))</f>
        <v>2026</v>
      </c>
      <c r="J26" s="50">
        <f>IF(ISERROR(VLOOKUP(MONTH(H26),справочник!$A$1:$B$12,2,FALSE))=TRUE,0,VLOOKUP(MONTH(H26),справочник!$A$1:$B$12,2,FALSE))</f>
        <v>1</v>
      </c>
      <c r="K26" s="50" t="str">
        <f>CONCATENATE(J26," кв"," ",I26)</f>
        <v>1 кв 2026</v>
      </c>
      <c r="L26" s="51">
        <f>IF(B26="-","-",(B26-L15)*$F$20/365*G26)</f>
        <v>9.589041095890412</v>
      </c>
    </row>
    <row r="27" spans="1:22" ht="15" customHeight="1">
      <c r="A27" s="44">
        <f>IF(F27=0,0,1)+A26+IF(A26=$J$17-1,1,0)</f>
        <v>0</v>
      </c>
      <c r="B27" s="49">
        <f t="shared" si="0"/>
        <v>46203</v>
      </c>
      <c r="C27" s="50">
        <f t="shared" ref="C27:C54" si="1">IF(B27="-","-",YEAR(B27))</f>
        <v>2026</v>
      </c>
      <c r="D27" s="50">
        <f>IF(ISERROR(VLOOKUP(MONTH(B27),справочник!$A$1:$B$12,2,FALSE))=TRUE,0,VLOOKUP(MONTH(B27),справочник!$A$1:$B$12,2,FALSE))</f>
        <v>2</v>
      </c>
      <c r="E27" s="50" t="str">
        <f t="shared" ref="E27:E54" si="2">CONCATENATE(D27," кв"," ",C27)</f>
        <v>2 кв 2026</v>
      </c>
      <c r="F27" s="51">
        <f>IF(B27&gt;=$L$16,$L$18,0)*(IF(B27="-",0,1))*IF(A26=$J$17-1,0,1)</f>
        <v>0</v>
      </c>
      <c r="G27" s="51">
        <f>G26-F27</f>
        <v>5000</v>
      </c>
      <c r="H27" s="49">
        <f t="shared" ref="H27:H47" si="3">IF(H26=Дата_погашения_Займа,"-",IF((DATE(YEAR(H26),MONTH(H26)+3,20))&lt;Дата_погашения_Займа,DATE(YEAR(H26),MONTH(H26)+3,20),Дата_погашения_Займа))</f>
        <v>46193</v>
      </c>
      <c r="I27" s="50">
        <f t="shared" ref="I27:I54" si="4">IF(H27="-","-",YEAR(H27))</f>
        <v>2026</v>
      </c>
      <c r="J27" s="50">
        <f>IF(ISERROR(VLOOKUP(MONTH(H27),справочник!$A$1:$B$12,2,FALSE))=TRUE,0,VLOOKUP(MONTH(H27),справочник!$A$1:$B$12,2,FALSE))</f>
        <v>2</v>
      </c>
      <c r="K27" s="50" t="str">
        <f t="shared" ref="K27:K54" si="5">CONCATENATE(J27," кв"," ",I27)</f>
        <v>2 кв 2026</v>
      </c>
      <c r="L27" s="51">
        <f t="shared" ref="L27:L54" si="6">IF(B27="-","-",G26*(B27-B26)*$F$20/365)</f>
        <v>62.328767123287669</v>
      </c>
    </row>
    <row r="28" spans="1:22" ht="15" customHeight="1">
      <c r="A28" s="44">
        <f t="shared" ref="A28:A54" si="7">IF(F28=0,0,1)+A27+IF(A27=$J$17-1,1,0)</f>
        <v>0</v>
      </c>
      <c r="B28" s="49">
        <f t="shared" si="0"/>
        <v>46295</v>
      </c>
      <c r="C28" s="50">
        <f t="shared" si="1"/>
        <v>2026</v>
      </c>
      <c r="D28" s="50">
        <f>IF(ISERROR(VLOOKUP(MONTH(B28),справочник!$A$1:$B$12,2,FALSE))=TRUE,0,VLOOKUP(MONTH(B28),справочник!$A$1:$B$12,2,FALSE))</f>
        <v>3</v>
      </c>
      <c r="E28" s="50" t="str">
        <f t="shared" si="2"/>
        <v>3 кв 2026</v>
      </c>
      <c r="F28" s="51">
        <f t="shared" ref="F28:F54" si="8">IF(B28&gt;=$L$16,$L$18,0)*(IF(B28="-",0,1))*IF(A27=$J$17-1,0,1)</f>
        <v>0</v>
      </c>
      <c r="G28" s="51">
        <f t="shared" ref="G28:G54" si="9">G27-F28</f>
        <v>5000</v>
      </c>
      <c r="H28" s="49">
        <f t="shared" si="3"/>
        <v>46285</v>
      </c>
      <c r="I28" s="50">
        <f t="shared" si="4"/>
        <v>2026</v>
      </c>
      <c r="J28" s="50">
        <f>IF(ISERROR(VLOOKUP(MONTH(H28),справочник!$A$1:$B$12,2,FALSE))=TRUE,0,VLOOKUP(MONTH(H28),справочник!$A$1:$B$12,2,FALSE))</f>
        <v>3</v>
      </c>
      <c r="K28" s="50" t="str">
        <f t="shared" si="5"/>
        <v>3 кв 2026</v>
      </c>
      <c r="L28" s="51">
        <f t="shared" si="6"/>
        <v>63.013698630136986</v>
      </c>
    </row>
    <row r="29" spans="1:22" ht="15" customHeight="1">
      <c r="A29" s="44">
        <f t="shared" si="7"/>
        <v>0</v>
      </c>
      <c r="B29" s="49">
        <f t="shared" si="0"/>
        <v>46402</v>
      </c>
      <c r="C29" s="50">
        <f t="shared" si="1"/>
        <v>2027</v>
      </c>
      <c r="D29" s="50">
        <f>IF(ISERROR(VLOOKUP(MONTH(B29),справочник!$A$1:$B$12,2,FALSE))=TRUE,0,VLOOKUP(MONTH(B29),справочник!$A$1:$B$12,2,FALSE))</f>
        <v>1</v>
      </c>
      <c r="E29" s="50" t="str">
        <f t="shared" si="2"/>
        <v>1 кв 2027</v>
      </c>
      <c r="F29" s="51">
        <f t="shared" si="8"/>
        <v>0</v>
      </c>
      <c r="G29" s="51">
        <f t="shared" si="9"/>
        <v>5000</v>
      </c>
      <c r="H29" s="49">
        <f t="shared" si="3"/>
        <v>46376</v>
      </c>
      <c r="I29" s="50">
        <f t="shared" si="4"/>
        <v>2026</v>
      </c>
      <c r="J29" s="50">
        <f>IF(ISERROR(VLOOKUP(MONTH(H29),справочник!$A$1:$B$12,2,FALSE))=TRUE,0,VLOOKUP(MONTH(H29),справочник!$A$1:$B$12,2,FALSE))</f>
        <v>4</v>
      </c>
      <c r="K29" s="50" t="str">
        <f t="shared" si="5"/>
        <v>4 кв 2026</v>
      </c>
      <c r="L29" s="51">
        <f t="shared" si="6"/>
        <v>73.287671232876718</v>
      </c>
    </row>
    <row r="30" spans="1:22" ht="15" customHeight="1">
      <c r="A30" s="44">
        <f t="shared" si="7"/>
        <v>0</v>
      </c>
      <c r="B30" s="49">
        <f t="shared" si="0"/>
        <v>46477</v>
      </c>
      <c r="C30" s="50">
        <f t="shared" si="1"/>
        <v>2027</v>
      </c>
      <c r="D30" s="50">
        <f>IF(ISERROR(VLOOKUP(MONTH(B30),справочник!$A$1:$B$12,2,FALSE))=TRUE,0,VLOOKUP(MONTH(B30),справочник!$A$1:$B$12,2,FALSE))</f>
        <v>1</v>
      </c>
      <c r="E30" s="50" t="str">
        <f t="shared" si="2"/>
        <v>1 кв 2027</v>
      </c>
      <c r="F30" s="51">
        <f t="shared" si="8"/>
        <v>0</v>
      </c>
      <c r="G30" s="51">
        <f t="shared" si="9"/>
        <v>5000</v>
      </c>
      <c r="H30" s="49">
        <f t="shared" si="3"/>
        <v>46466</v>
      </c>
      <c r="I30" s="50">
        <f t="shared" si="4"/>
        <v>2027</v>
      </c>
      <c r="J30" s="50">
        <f>IF(ISERROR(VLOOKUP(MONTH(H30),справочник!$A$1:$B$12,2,FALSE))=TRUE,0,VLOOKUP(MONTH(H30),справочник!$A$1:$B$12,2,FALSE))</f>
        <v>1</v>
      </c>
      <c r="K30" s="50" t="str">
        <f t="shared" si="5"/>
        <v>1 кв 2027</v>
      </c>
      <c r="L30" s="51">
        <f t="shared" si="6"/>
        <v>51.369863013698627</v>
      </c>
    </row>
    <row r="31" spans="1:22" ht="15" customHeight="1">
      <c r="A31" s="44">
        <f t="shared" si="7"/>
        <v>0</v>
      </c>
      <c r="B31" s="49">
        <f t="shared" si="0"/>
        <v>46568</v>
      </c>
      <c r="C31" s="50">
        <f t="shared" si="1"/>
        <v>2027</v>
      </c>
      <c r="D31" s="50">
        <f>IF(ISERROR(VLOOKUP(MONTH(B31),справочник!$A$1:$B$12,2,FALSE))=TRUE,0,VLOOKUP(MONTH(B31),справочник!$A$1:$B$12,2,FALSE))</f>
        <v>2</v>
      </c>
      <c r="E31" s="50" t="str">
        <f t="shared" si="2"/>
        <v>2 кв 2027</v>
      </c>
      <c r="F31" s="51">
        <f t="shared" si="8"/>
        <v>0</v>
      </c>
      <c r="G31" s="51">
        <f t="shared" si="9"/>
        <v>5000</v>
      </c>
      <c r="H31" s="49">
        <f t="shared" si="3"/>
        <v>46558</v>
      </c>
      <c r="I31" s="50">
        <f t="shared" si="4"/>
        <v>2027</v>
      </c>
      <c r="J31" s="50">
        <f>IF(ISERROR(VLOOKUP(MONTH(H31),справочник!$A$1:$B$12,2,FALSE))=TRUE,0,VLOOKUP(MONTH(H31),справочник!$A$1:$B$12,2,FALSE))</f>
        <v>2</v>
      </c>
      <c r="K31" s="50" t="str">
        <f t="shared" si="5"/>
        <v>2 кв 2027</v>
      </c>
      <c r="L31" s="51">
        <f t="shared" si="6"/>
        <v>62.328767123287669</v>
      </c>
    </row>
    <row r="32" spans="1:22" ht="15" customHeight="1">
      <c r="A32" s="44">
        <f t="shared" si="7"/>
        <v>0</v>
      </c>
      <c r="B32" s="49">
        <f t="shared" si="0"/>
        <v>46660</v>
      </c>
      <c r="C32" s="50">
        <f t="shared" si="1"/>
        <v>2027</v>
      </c>
      <c r="D32" s="50">
        <f>IF(ISERROR(VLOOKUP(MONTH(B32),справочник!$A$1:$B$12,2,FALSE))=TRUE,0,VLOOKUP(MONTH(B32),справочник!$A$1:$B$12,2,FALSE))</f>
        <v>3</v>
      </c>
      <c r="E32" s="50" t="str">
        <f t="shared" si="2"/>
        <v>3 кв 2027</v>
      </c>
      <c r="F32" s="51">
        <f t="shared" si="8"/>
        <v>0</v>
      </c>
      <c r="G32" s="51">
        <f t="shared" si="9"/>
        <v>5000</v>
      </c>
      <c r="H32" s="49">
        <f t="shared" si="3"/>
        <v>46650</v>
      </c>
      <c r="I32" s="50">
        <f t="shared" si="4"/>
        <v>2027</v>
      </c>
      <c r="J32" s="50">
        <f>IF(ISERROR(VLOOKUP(MONTH(H32),справочник!$A$1:$B$12,2,FALSE))=TRUE,0,VLOOKUP(MONTH(H32),справочник!$A$1:$B$12,2,FALSE))</f>
        <v>3</v>
      </c>
      <c r="K32" s="50" t="str">
        <f t="shared" si="5"/>
        <v>3 кв 2027</v>
      </c>
      <c r="L32" s="51">
        <f t="shared" si="6"/>
        <v>63.013698630136986</v>
      </c>
    </row>
    <row r="33" spans="1:12" ht="15" customHeight="1">
      <c r="A33" s="44">
        <f t="shared" si="7"/>
        <v>0</v>
      </c>
      <c r="B33" s="49">
        <f t="shared" si="0"/>
        <v>46767</v>
      </c>
      <c r="C33" s="50">
        <f t="shared" si="1"/>
        <v>2028</v>
      </c>
      <c r="D33" s="50">
        <f>IF(ISERROR(VLOOKUP(MONTH(B33),справочник!$A$1:$B$12,2,FALSE))=TRUE,0,VLOOKUP(MONTH(B33),справочник!$A$1:$B$12,2,FALSE))</f>
        <v>1</v>
      </c>
      <c r="E33" s="50" t="str">
        <f t="shared" si="2"/>
        <v>1 кв 2028</v>
      </c>
      <c r="F33" s="51">
        <f t="shared" si="8"/>
        <v>0</v>
      </c>
      <c r="G33" s="51">
        <f t="shared" si="9"/>
        <v>5000</v>
      </c>
      <c r="H33" s="49">
        <f t="shared" si="3"/>
        <v>46741</v>
      </c>
      <c r="I33" s="50">
        <f t="shared" si="4"/>
        <v>2027</v>
      </c>
      <c r="J33" s="50">
        <f>IF(ISERROR(VLOOKUP(MONTH(H33),справочник!$A$1:$B$12,2,FALSE))=TRUE,0,VLOOKUP(MONTH(H33),справочник!$A$1:$B$12,2,FALSE))</f>
        <v>4</v>
      </c>
      <c r="K33" s="50" t="str">
        <f t="shared" si="5"/>
        <v>4 кв 2027</v>
      </c>
      <c r="L33" s="51">
        <f t="shared" si="6"/>
        <v>73.287671232876718</v>
      </c>
    </row>
    <row r="34" spans="1:12" ht="15" customHeight="1">
      <c r="A34" s="44">
        <f t="shared" si="7"/>
        <v>0</v>
      </c>
      <c r="B34" s="49">
        <f t="shared" si="0"/>
        <v>46843</v>
      </c>
      <c r="C34" s="50">
        <f t="shared" si="1"/>
        <v>2028</v>
      </c>
      <c r="D34" s="50">
        <f>IF(ISERROR(VLOOKUP(MONTH(B34),справочник!$A$1:$B$12,2,FALSE))=TRUE,0,VLOOKUP(MONTH(B34),справочник!$A$1:$B$12,2,FALSE))</f>
        <v>1</v>
      </c>
      <c r="E34" s="50" t="str">
        <f t="shared" si="2"/>
        <v>1 кв 2028</v>
      </c>
      <c r="F34" s="51">
        <f t="shared" si="8"/>
        <v>0</v>
      </c>
      <c r="G34" s="51">
        <f t="shared" si="9"/>
        <v>5000</v>
      </c>
      <c r="H34" s="49">
        <f t="shared" si="3"/>
        <v>46832</v>
      </c>
      <c r="I34" s="50">
        <f t="shared" si="4"/>
        <v>2028</v>
      </c>
      <c r="J34" s="50">
        <f>IF(ISERROR(VLOOKUP(MONTH(H34),справочник!$A$1:$B$12,2,FALSE))=TRUE,0,VLOOKUP(MONTH(H34),справочник!$A$1:$B$12,2,FALSE))</f>
        <v>1</v>
      </c>
      <c r="K34" s="50" t="str">
        <f t="shared" si="5"/>
        <v>1 кв 2028</v>
      </c>
      <c r="L34" s="51">
        <f t="shared" si="6"/>
        <v>52.054794520547944</v>
      </c>
    </row>
    <row r="35" spans="1:12" ht="15" customHeight="1">
      <c r="A35" s="44">
        <f t="shared" si="7"/>
        <v>0</v>
      </c>
      <c r="B35" s="49">
        <f t="shared" si="0"/>
        <v>46934</v>
      </c>
      <c r="C35" s="50">
        <f t="shared" si="1"/>
        <v>2028</v>
      </c>
      <c r="D35" s="50">
        <f>IF(ISERROR(VLOOKUP(MONTH(B35),справочник!$A$1:$B$12,2,FALSE))=TRUE,0,VLOOKUP(MONTH(B35),справочник!$A$1:$B$12,2,FALSE))</f>
        <v>2</v>
      </c>
      <c r="E35" s="50" t="str">
        <f t="shared" si="2"/>
        <v>2 кв 2028</v>
      </c>
      <c r="F35" s="51">
        <f t="shared" si="8"/>
        <v>0</v>
      </c>
      <c r="G35" s="51">
        <f t="shared" si="9"/>
        <v>5000</v>
      </c>
      <c r="H35" s="49">
        <f t="shared" si="3"/>
        <v>46924</v>
      </c>
      <c r="I35" s="50">
        <f t="shared" si="4"/>
        <v>2028</v>
      </c>
      <c r="J35" s="50">
        <f>IF(ISERROR(VLOOKUP(MONTH(H35),справочник!$A$1:$B$12,2,FALSE))=TRUE,0,VLOOKUP(MONTH(H35),справочник!$A$1:$B$12,2,FALSE))</f>
        <v>2</v>
      </c>
      <c r="K35" s="50" t="str">
        <f t="shared" si="5"/>
        <v>2 кв 2028</v>
      </c>
      <c r="L35" s="51">
        <f t="shared" si="6"/>
        <v>62.328767123287669</v>
      </c>
    </row>
    <row r="36" spans="1:12" ht="15" customHeight="1">
      <c r="A36" s="44">
        <f t="shared" si="7"/>
        <v>0</v>
      </c>
      <c r="B36" s="49">
        <f t="shared" si="0"/>
        <v>47026</v>
      </c>
      <c r="C36" s="50">
        <f t="shared" si="1"/>
        <v>2028</v>
      </c>
      <c r="D36" s="50">
        <f>IF(ISERROR(VLOOKUP(MONTH(B36),справочник!$A$1:$B$12,2,FALSE))=TRUE,0,VLOOKUP(MONTH(B36),справочник!$A$1:$B$12,2,FALSE))</f>
        <v>3</v>
      </c>
      <c r="E36" s="50" t="str">
        <f t="shared" si="2"/>
        <v>3 кв 2028</v>
      </c>
      <c r="F36" s="51">
        <f t="shared" si="8"/>
        <v>0</v>
      </c>
      <c r="G36" s="51">
        <f t="shared" si="9"/>
        <v>5000</v>
      </c>
      <c r="H36" s="49">
        <f t="shared" si="3"/>
        <v>47016</v>
      </c>
      <c r="I36" s="50">
        <f t="shared" si="4"/>
        <v>2028</v>
      </c>
      <c r="J36" s="50">
        <f>IF(ISERROR(VLOOKUP(MONTH(H36),справочник!$A$1:$B$12,2,FALSE))=TRUE,0,VLOOKUP(MONTH(H36),справочник!$A$1:$B$12,2,FALSE))</f>
        <v>3</v>
      </c>
      <c r="K36" s="50" t="str">
        <f t="shared" si="5"/>
        <v>3 кв 2028</v>
      </c>
      <c r="L36" s="51">
        <f t="shared" si="6"/>
        <v>63.013698630136986</v>
      </c>
    </row>
    <row r="37" spans="1:12" ht="15" customHeight="1">
      <c r="A37" s="44">
        <f t="shared" si="7"/>
        <v>0</v>
      </c>
      <c r="B37" s="49">
        <f t="shared" si="0"/>
        <v>47133</v>
      </c>
      <c r="C37" s="50">
        <f t="shared" si="1"/>
        <v>2029</v>
      </c>
      <c r="D37" s="50">
        <f>IF(ISERROR(VLOOKUP(MONTH(B37),справочник!$A$1:$B$12,2,FALSE))=TRUE,0,VLOOKUP(MONTH(B37),справочник!$A$1:$B$12,2,FALSE))</f>
        <v>1</v>
      </c>
      <c r="E37" s="50" t="str">
        <f t="shared" si="2"/>
        <v>1 кв 2029</v>
      </c>
      <c r="F37" s="51">
        <f t="shared" si="8"/>
        <v>0</v>
      </c>
      <c r="G37" s="51">
        <f t="shared" si="9"/>
        <v>5000</v>
      </c>
      <c r="H37" s="49">
        <f t="shared" si="3"/>
        <v>47107</v>
      </c>
      <c r="I37" s="50">
        <f t="shared" si="4"/>
        <v>2028</v>
      </c>
      <c r="J37" s="50">
        <f>IF(ISERROR(VLOOKUP(MONTH(H37),справочник!$A$1:$B$12,2,FALSE))=TRUE,0,VLOOKUP(MONTH(H37),справочник!$A$1:$B$12,2,FALSE))</f>
        <v>4</v>
      </c>
      <c r="K37" s="50" t="str">
        <f t="shared" si="5"/>
        <v>4 кв 2028</v>
      </c>
      <c r="L37" s="51">
        <f t="shared" si="6"/>
        <v>73.287671232876718</v>
      </c>
    </row>
    <row r="38" spans="1:12" ht="15" customHeight="1">
      <c r="A38" s="44">
        <f t="shared" si="7"/>
        <v>1</v>
      </c>
      <c r="B38" s="49">
        <f t="shared" si="0"/>
        <v>47208</v>
      </c>
      <c r="C38" s="50">
        <f t="shared" si="1"/>
        <v>2029</v>
      </c>
      <c r="D38" s="50">
        <f>IF(ISERROR(VLOOKUP(MONTH(B38),справочник!$A$1:$B$12,2,FALSE))=TRUE,0,VLOOKUP(MONTH(B38),справочник!$A$1:$B$12,2,FALSE))</f>
        <v>1</v>
      </c>
      <c r="E38" s="50" t="str">
        <f t="shared" si="2"/>
        <v>1 кв 2029</v>
      </c>
      <c r="F38" s="51">
        <f t="shared" si="8"/>
        <v>625</v>
      </c>
      <c r="G38" s="51">
        <f t="shared" si="9"/>
        <v>4375</v>
      </c>
      <c r="H38" s="49">
        <f t="shared" si="3"/>
        <v>47197</v>
      </c>
      <c r="I38" s="50">
        <f t="shared" si="4"/>
        <v>2029</v>
      </c>
      <c r="J38" s="50">
        <f>IF(ISERROR(VLOOKUP(MONTH(H38),справочник!$A$1:$B$12,2,FALSE))=TRUE,0,VLOOKUP(MONTH(H38),справочник!$A$1:$B$12,2,FALSE))</f>
        <v>1</v>
      </c>
      <c r="K38" s="50" t="str">
        <f t="shared" si="5"/>
        <v>1 кв 2029</v>
      </c>
      <c r="L38" s="51">
        <f t="shared" si="6"/>
        <v>51.369863013698627</v>
      </c>
    </row>
    <row r="39" spans="1:12" ht="15" customHeight="1">
      <c r="A39" s="44">
        <f t="shared" si="7"/>
        <v>2</v>
      </c>
      <c r="B39" s="49">
        <f t="shared" si="0"/>
        <v>47299</v>
      </c>
      <c r="C39" s="50">
        <f t="shared" si="1"/>
        <v>2029</v>
      </c>
      <c r="D39" s="50">
        <f>IF(ISERROR(VLOOKUP(MONTH(B39),справочник!$A$1:$B$12,2,FALSE))=TRUE,0,VLOOKUP(MONTH(B39),справочник!$A$1:$B$12,2,FALSE))</f>
        <v>2</v>
      </c>
      <c r="E39" s="50" t="str">
        <f t="shared" si="2"/>
        <v>2 кв 2029</v>
      </c>
      <c r="F39" s="51">
        <f t="shared" si="8"/>
        <v>625</v>
      </c>
      <c r="G39" s="51">
        <f t="shared" si="9"/>
        <v>3750</v>
      </c>
      <c r="H39" s="49">
        <f t="shared" si="3"/>
        <v>47289</v>
      </c>
      <c r="I39" s="50">
        <f t="shared" si="4"/>
        <v>2029</v>
      </c>
      <c r="J39" s="50">
        <f>IF(ISERROR(VLOOKUP(MONTH(H39),справочник!$A$1:$B$12,2,FALSE))=TRUE,0,VLOOKUP(MONTH(H39),справочник!$A$1:$B$12,2,FALSE))</f>
        <v>2</v>
      </c>
      <c r="K39" s="50" t="str">
        <f t="shared" si="5"/>
        <v>2 кв 2029</v>
      </c>
      <c r="L39" s="51">
        <f t="shared" si="6"/>
        <v>54.537671232876711</v>
      </c>
    </row>
    <row r="40" spans="1:12" ht="15" customHeight="1">
      <c r="A40" s="44">
        <f t="shared" si="7"/>
        <v>3</v>
      </c>
      <c r="B40" s="49">
        <f t="shared" si="0"/>
        <v>47391</v>
      </c>
      <c r="C40" s="50">
        <f t="shared" si="1"/>
        <v>2029</v>
      </c>
      <c r="D40" s="50">
        <f>IF(ISERROR(VLOOKUP(MONTH(B40),справочник!$A$1:$B$12,2,FALSE))=TRUE,0,VLOOKUP(MONTH(B40),справочник!$A$1:$B$12,2,FALSE))</f>
        <v>3</v>
      </c>
      <c r="E40" s="50" t="str">
        <f t="shared" si="2"/>
        <v>3 кв 2029</v>
      </c>
      <c r="F40" s="51">
        <f t="shared" si="8"/>
        <v>625</v>
      </c>
      <c r="G40" s="51">
        <f t="shared" si="9"/>
        <v>3125</v>
      </c>
      <c r="H40" s="49">
        <f t="shared" si="3"/>
        <v>47381</v>
      </c>
      <c r="I40" s="50">
        <f t="shared" si="4"/>
        <v>2029</v>
      </c>
      <c r="J40" s="50">
        <f>IF(ISERROR(VLOOKUP(MONTH(H40),справочник!$A$1:$B$12,2,FALSE))=TRUE,0,VLOOKUP(MONTH(H40),справочник!$A$1:$B$12,2,FALSE))</f>
        <v>3</v>
      </c>
      <c r="K40" s="50" t="str">
        <f t="shared" si="5"/>
        <v>3 кв 2029</v>
      </c>
      <c r="L40" s="51">
        <f t="shared" si="6"/>
        <v>47.260273972602739</v>
      </c>
    </row>
    <row r="41" spans="1:12" ht="15" customHeight="1">
      <c r="A41" s="44">
        <f t="shared" si="7"/>
        <v>4</v>
      </c>
      <c r="B41" s="49">
        <f t="shared" si="0"/>
        <v>47498</v>
      </c>
      <c r="C41" s="50">
        <f t="shared" si="1"/>
        <v>2030</v>
      </c>
      <c r="D41" s="50">
        <f>IF(ISERROR(VLOOKUP(MONTH(B41),справочник!$A$1:$B$12,2,FALSE))=TRUE,0,VLOOKUP(MONTH(B41),справочник!$A$1:$B$12,2,FALSE))</f>
        <v>1</v>
      </c>
      <c r="E41" s="50" t="str">
        <f t="shared" si="2"/>
        <v>1 кв 2030</v>
      </c>
      <c r="F41" s="51">
        <f t="shared" si="8"/>
        <v>625</v>
      </c>
      <c r="G41" s="51">
        <f t="shared" si="9"/>
        <v>2500</v>
      </c>
      <c r="H41" s="49">
        <f t="shared" si="3"/>
        <v>47472</v>
      </c>
      <c r="I41" s="50">
        <f t="shared" si="4"/>
        <v>2029</v>
      </c>
      <c r="J41" s="50">
        <f>IF(ISERROR(VLOOKUP(MONTH(H41),справочник!$A$1:$B$12,2,FALSE))=TRUE,0,VLOOKUP(MONTH(H41),справочник!$A$1:$B$12,2,FALSE))</f>
        <v>4</v>
      </c>
      <c r="K41" s="50" t="str">
        <f t="shared" si="5"/>
        <v>4 кв 2029</v>
      </c>
      <c r="L41" s="51">
        <f t="shared" si="6"/>
        <v>45.804794520547944</v>
      </c>
    </row>
    <row r="42" spans="1:12" ht="15" customHeight="1">
      <c r="A42" s="44">
        <f t="shared" si="7"/>
        <v>5</v>
      </c>
      <c r="B42" s="49">
        <f t="shared" si="0"/>
        <v>47573</v>
      </c>
      <c r="C42" s="50">
        <f t="shared" si="1"/>
        <v>2030</v>
      </c>
      <c r="D42" s="50">
        <f>IF(ISERROR(VLOOKUP(MONTH(B42),справочник!$A$1:$B$12,2,FALSE))=TRUE,0,VLOOKUP(MONTH(B42),справочник!$A$1:$B$12,2,FALSE))</f>
        <v>1</v>
      </c>
      <c r="E42" s="50" t="str">
        <f t="shared" si="2"/>
        <v>1 кв 2030</v>
      </c>
      <c r="F42" s="51">
        <f t="shared" si="8"/>
        <v>625</v>
      </c>
      <c r="G42" s="51">
        <f t="shared" si="9"/>
        <v>1875</v>
      </c>
      <c r="H42" s="49">
        <f t="shared" si="3"/>
        <v>47562</v>
      </c>
      <c r="I42" s="50">
        <f t="shared" si="4"/>
        <v>2030</v>
      </c>
      <c r="J42" s="50">
        <f>IF(ISERROR(VLOOKUP(MONTH(H42),справочник!$A$1:$B$12,2,FALSE))=TRUE,0,VLOOKUP(MONTH(H42),справочник!$A$1:$B$12,2,FALSE))</f>
        <v>1</v>
      </c>
      <c r="K42" s="50" t="str">
        <f t="shared" si="5"/>
        <v>1 кв 2030</v>
      </c>
      <c r="L42" s="51">
        <f t="shared" si="6"/>
        <v>25.684931506849313</v>
      </c>
    </row>
    <row r="43" spans="1:12" ht="15" customHeight="1">
      <c r="A43" s="44">
        <f t="shared" si="7"/>
        <v>6</v>
      </c>
      <c r="B43" s="49">
        <f t="shared" si="0"/>
        <v>47664</v>
      </c>
      <c r="C43" s="50">
        <f t="shared" si="1"/>
        <v>2030</v>
      </c>
      <c r="D43" s="50">
        <f>IF(ISERROR(VLOOKUP(MONTH(B43),справочник!$A$1:$B$12,2,FALSE))=TRUE,0,VLOOKUP(MONTH(B43),справочник!$A$1:$B$12,2,FALSE))</f>
        <v>2</v>
      </c>
      <c r="E43" s="50" t="str">
        <f t="shared" si="2"/>
        <v>2 кв 2030</v>
      </c>
      <c r="F43" s="51">
        <f t="shared" si="8"/>
        <v>625</v>
      </c>
      <c r="G43" s="51">
        <f t="shared" si="9"/>
        <v>1250</v>
      </c>
      <c r="H43" s="49">
        <f t="shared" si="3"/>
        <v>47654</v>
      </c>
      <c r="I43" s="50">
        <f t="shared" si="4"/>
        <v>2030</v>
      </c>
      <c r="J43" s="50">
        <f>IF(ISERROR(VLOOKUP(MONTH(H43),справочник!$A$1:$B$12,2,FALSE))=TRUE,0,VLOOKUP(MONTH(H43),справочник!$A$1:$B$12,2,FALSE))</f>
        <v>2</v>
      </c>
      <c r="K43" s="50" t="str">
        <f t="shared" si="5"/>
        <v>2 кв 2030</v>
      </c>
      <c r="L43" s="51">
        <f t="shared" si="6"/>
        <v>23.373287671232877</v>
      </c>
    </row>
    <row r="44" spans="1:12" ht="15" customHeight="1">
      <c r="A44" s="44">
        <f t="shared" si="7"/>
        <v>7</v>
      </c>
      <c r="B44" s="49">
        <f t="shared" si="0"/>
        <v>47756</v>
      </c>
      <c r="C44" s="50">
        <f t="shared" si="1"/>
        <v>2030</v>
      </c>
      <c r="D44" s="50">
        <f>IF(ISERROR(VLOOKUP(MONTH(B44),справочник!$A$1:$B$12,2,FALSE))=TRUE,0,VLOOKUP(MONTH(B44),справочник!$A$1:$B$12,2,FALSE))</f>
        <v>3</v>
      </c>
      <c r="E44" s="50" t="str">
        <f t="shared" si="2"/>
        <v>3 кв 2030</v>
      </c>
      <c r="F44" s="51">
        <f t="shared" si="8"/>
        <v>625</v>
      </c>
      <c r="G44" s="51">
        <f t="shared" si="9"/>
        <v>625</v>
      </c>
      <c r="H44" s="49">
        <f t="shared" si="3"/>
        <v>47746</v>
      </c>
      <c r="I44" s="50">
        <f t="shared" si="4"/>
        <v>2030</v>
      </c>
      <c r="J44" s="50">
        <f>IF(ISERROR(VLOOKUP(MONTH(H44),справочник!$A$1:$B$12,2,FALSE))=TRUE,0,VLOOKUP(MONTH(H44),справочник!$A$1:$B$12,2,FALSE))</f>
        <v>3</v>
      </c>
      <c r="K44" s="50" t="str">
        <f t="shared" si="5"/>
        <v>3 кв 2030</v>
      </c>
      <c r="L44" s="51">
        <f t="shared" si="6"/>
        <v>15.753424657534246</v>
      </c>
    </row>
    <row r="45" spans="1:12" ht="15" customHeight="1">
      <c r="A45" s="44">
        <f t="shared" si="7"/>
        <v>8</v>
      </c>
      <c r="B45" s="49">
        <f t="shared" si="0"/>
        <v>47863</v>
      </c>
      <c r="C45" s="50">
        <f t="shared" si="1"/>
        <v>2031</v>
      </c>
      <c r="D45" s="50">
        <f>IF(ISERROR(VLOOKUP(MONTH(B45),справочник!$A$1:$B$12,2,FALSE))=TRUE,0,VLOOKUP(MONTH(B45),справочник!$A$1:$B$12,2,FALSE))</f>
        <v>1</v>
      </c>
      <c r="E45" s="50" t="str">
        <f t="shared" si="2"/>
        <v>1 кв 2031</v>
      </c>
      <c r="F45" s="51">
        <f t="shared" si="8"/>
        <v>0</v>
      </c>
      <c r="G45" s="51">
        <f t="shared" si="9"/>
        <v>625</v>
      </c>
      <c r="H45" s="49">
        <f t="shared" si="3"/>
        <v>47837</v>
      </c>
      <c r="I45" s="50">
        <f t="shared" si="4"/>
        <v>2030</v>
      </c>
      <c r="J45" s="50">
        <f>IF(ISERROR(VLOOKUP(MONTH(H45),справочник!$A$1:$B$12,2,FALSE))=TRUE,0,VLOOKUP(MONTH(H45),справочник!$A$1:$B$12,2,FALSE))</f>
        <v>4</v>
      </c>
      <c r="K45" s="50" t="str">
        <f t="shared" si="5"/>
        <v>4 кв 2030</v>
      </c>
      <c r="L45" s="51">
        <f t="shared" si="6"/>
        <v>9.1609589041095898</v>
      </c>
    </row>
    <row r="46" spans="1:12" ht="15" customHeight="1">
      <c r="A46" s="44">
        <f t="shared" si="7"/>
        <v>9</v>
      </c>
      <c r="B46" s="49">
        <f t="shared" si="0"/>
        <v>47923</v>
      </c>
      <c r="C46" s="50">
        <f t="shared" si="1"/>
        <v>2031</v>
      </c>
      <c r="D46" s="50">
        <f>IF(ISERROR(VLOOKUP(MONTH(B46),справочник!$A$1:$B$12,2,FALSE))=TRUE,0,VLOOKUP(MONTH(B46),справочник!$A$1:$B$12,2,FALSE))</f>
        <v>1</v>
      </c>
      <c r="E46" s="50" t="str">
        <f t="shared" si="2"/>
        <v>1 кв 2031</v>
      </c>
      <c r="F46" s="51">
        <f t="shared" si="8"/>
        <v>625</v>
      </c>
      <c r="G46" s="51">
        <f t="shared" si="9"/>
        <v>0</v>
      </c>
      <c r="H46" s="49">
        <f t="shared" si="3"/>
        <v>47923</v>
      </c>
      <c r="I46" s="50">
        <f t="shared" si="4"/>
        <v>2031</v>
      </c>
      <c r="J46" s="50">
        <f>IF(ISERROR(VLOOKUP(MONTH(H46),справочник!$A$1:$B$12,2,FALSE))=TRUE,0,VLOOKUP(MONTH(H46),справочник!$A$1:$B$12,2,FALSE))</f>
        <v>1</v>
      </c>
      <c r="K46" s="50" t="str">
        <f t="shared" si="5"/>
        <v>1 кв 2031</v>
      </c>
      <c r="L46" s="51">
        <f t="shared" si="6"/>
        <v>5.1369863013698627</v>
      </c>
    </row>
    <row r="47" spans="1:12" ht="15" customHeight="1">
      <c r="A47" s="44">
        <f t="shared" si="7"/>
        <v>9</v>
      </c>
      <c r="B47" s="49" t="str">
        <f t="shared" si="0"/>
        <v>-</v>
      </c>
      <c r="C47" s="50" t="str">
        <f t="shared" si="1"/>
        <v>-</v>
      </c>
      <c r="D47" s="50">
        <f>IF(ISERROR(VLOOKUP(MONTH(B47),справочник!$A$1:$B$12,2,FALSE))=TRUE,0,VLOOKUP(MONTH(B47),справочник!$A$1:$B$12,2,FALSE))</f>
        <v>0</v>
      </c>
      <c r="E47" s="50" t="str">
        <f t="shared" si="2"/>
        <v>0 кв -</v>
      </c>
      <c r="F47" s="51">
        <f t="shared" si="8"/>
        <v>0</v>
      </c>
      <c r="G47" s="51">
        <f t="shared" si="9"/>
        <v>0</v>
      </c>
      <c r="H47" s="49" t="str">
        <f t="shared" si="3"/>
        <v>-</v>
      </c>
      <c r="I47" s="50" t="str">
        <f t="shared" si="4"/>
        <v>-</v>
      </c>
      <c r="J47" s="50">
        <f>IF(ISERROR(VLOOKUP(MONTH(H47),справочник!$A$1:$B$12,2,FALSE))=TRUE,0,VLOOKUP(MONTH(H47),справочник!$A$1:$B$12,2,FALSE))</f>
        <v>0</v>
      </c>
      <c r="K47" s="50" t="str">
        <f t="shared" si="5"/>
        <v>0 кв -</v>
      </c>
      <c r="L47" s="51" t="str">
        <f t="shared" si="6"/>
        <v>-</v>
      </c>
    </row>
    <row r="48" spans="1:12" ht="15" customHeight="1">
      <c r="A48" s="44">
        <f t="shared" si="7"/>
        <v>9</v>
      </c>
      <c r="B48" s="49" t="str">
        <f t="shared" si="0"/>
        <v>-</v>
      </c>
      <c r="C48" s="50" t="str">
        <f t="shared" si="1"/>
        <v>-</v>
      </c>
      <c r="D48" s="50">
        <f>IF(ISERROR(VLOOKUP(MONTH(B48),справочник!$A$1:$B$12,2,FALSE))=TRUE,0,VLOOKUP(MONTH(B48),справочник!$A$1:$B$12,2,FALSE))</f>
        <v>0</v>
      </c>
      <c r="E48" s="50" t="str">
        <f t="shared" si="2"/>
        <v>0 кв -</v>
      </c>
      <c r="F48" s="51">
        <f t="shared" si="8"/>
        <v>0</v>
      </c>
      <c r="G48" s="51">
        <f t="shared" si="9"/>
        <v>0</v>
      </c>
      <c r="H48" s="49" t="str">
        <f t="shared" ref="H48:H54" si="10">IF(H47="-","-",IF(H47=Дата_погашения_Займа," ",IF((DATE(YEAR(H47),MONTH(H47)+3,20))&lt;Дата_погашения_Займа,DATE(YEAR(H47),MONTH(H47)+3,20),Дата_погашения_Займа)))</f>
        <v>-</v>
      </c>
      <c r="I48" s="50" t="str">
        <f t="shared" si="4"/>
        <v>-</v>
      </c>
      <c r="J48" s="50">
        <f>IF(ISERROR(VLOOKUP(MONTH(H48),справочник!$A$1:$B$12,2,FALSE))=TRUE,0,VLOOKUP(MONTH(H48),справочник!$A$1:$B$12,2,FALSE))</f>
        <v>0</v>
      </c>
      <c r="K48" s="50" t="str">
        <f t="shared" si="5"/>
        <v>0 кв -</v>
      </c>
      <c r="L48" s="51" t="str">
        <f t="shared" si="6"/>
        <v>-</v>
      </c>
    </row>
    <row r="49" spans="1:12" ht="15" customHeight="1">
      <c r="A49" s="44">
        <f t="shared" si="7"/>
        <v>9</v>
      </c>
      <c r="B49" s="49" t="str">
        <f t="shared" si="0"/>
        <v>-</v>
      </c>
      <c r="C49" s="50" t="str">
        <f t="shared" si="1"/>
        <v>-</v>
      </c>
      <c r="D49" s="50">
        <f>IF(ISERROR(VLOOKUP(MONTH(B49),справочник!$A$1:$B$12,2,FALSE))=TRUE,0,VLOOKUP(MONTH(B49),справочник!$A$1:$B$12,2,FALSE))</f>
        <v>0</v>
      </c>
      <c r="E49" s="50" t="str">
        <f t="shared" si="2"/>
        <v>0 кв -</v>
      </c>
      <c r="F49" s="51">
        <f t="shared" si="8"/>
        <v>0</v>
      </c>
      <c r="G49" s="51">
        <f t="shared" si="9"/>
        <v>0</v>
      </c>
      <c r="H49" s="49" t="str">
        <f t="shared" si="10"/>
        <v>-</v>
      </c>
      <c r="I49" s="50" t="str">
        <f t="shared" si="4"/>
        <v>-</v>
      </c>
      <c r="J49" s="50">
        <f>IF(ISERROR(VLOOKUP(MONTH(H49),справочник!$A$1:$B$12,2,FALSE))=TRUE,0,VLOOKUP(MONTH(H49),справочник!$A$1:$B$12,2,FALSE))</f>
        <v>0</v>
      </c>
      <c r="K49" s="50" t="str">
        <f t="shared" si="5"/>
        <v>0 кв -</v>
      </c>
      <c r="L49" s="51" t="str">
        <f t="shared" si="6"/>
        <v>-</v>
      </c>
    </row>
    <row r="50" spans="1:12" ht="15" customHeight="1">
      <c r="A50" s="44">
        <f t="shared" si="7"/>
        <v>9</v>
      </c>
      <c r="B50" s="49" t="str">
        <f t="shared" si="0"/>
        <v>-</v>
      </c>
      <c r="C50" s="50" t="str">
        <f t="shared" si="1"/>
        <v>-</v>
      </c>
      <c r="D50" s="50">
        <f>IF(ISERROR(VLOOKUP(MONTH(B50),справочник!$A$1:$B$12,2,FALSE))=TRUE,0,VLOOKUP(MONTH(B50),справочник!$A$1:$B$12,2,FALSE))</f>
        <v>0</v>
      </c>
      <c r="E50" s="50" t="str">
        <f t="shared" si="2"/>
        <v>0 кв -</v>
      </c>
      <c r="F50" s="51">
        <f t="shared" si="8"/>
        <v>0</v>
      </c>
      <c r="G50" s="51">
        <f t="shared" si="9"/>
        <v>0</v>
      </c>
      <c r="H50" s="49" t="str">
        <f t="shared" si="10"/>
        <v>-</v>
      </c>
      <c r="I50" s="50" t="str">
        <f t="shared" si="4"/>
        <v>-</v>
      </c>
      <c r="J50" s="50">
        <f>IF(ISERROR(VLOOKUP(MONTH(H50),справочник!$A$1:$B$12,2,FALSE))=TRUE,0,VLOOKUP(MONTH(H50),справочник!$A$1:$B$12,2,FALSE))</f>
        <v>0</v>
      </c>
      <c r="K50" s="50" t="str">
        <f t="shared" si="5"/>
        <v>0 кв -</v>
      </c>
      <c r="L50" s="51" t="str">
        <f t="shared" si="6"/>
        <v>-</v>
      </c>
    </row>
    <row r="51" spans="1:12" ht="15" customHeight="1">
      <c r="A51" s="44">
        <f t="shared" si="7"/>
        <v>9</v>
      </c>
      <c r="B51" s="49" t="str">
        <f t="shared" si="0"/>
        <v>-</v>
      </c>
      <c r="C51" s="50" t="str">
        <f t="shared" si="1"/>
        <v>-</v>
      </c>
      <c r="D51" s="50">
        <f>IF(ISERROR(VLOOKUP(MONTH(B51),справочник!$A$1:$B$12,2,FALSE))=TRUE,0,VLOOKUP(MONTH(B51),справочник!$A$1:$B$12,2,FALSE))</f>
        <v>0</v>
      </c>
      <c r="E51" s="50" t="str">
        <f t="shared" si="2"/>
        <v>0 кв -</v>
      </c>
      <c r="F51" s="51">
        <f t="shared" si="8"/>
        <v>0</v>
      </c>
      <c r="G51" s="51">
        <f t="shared" si="9"/>
        <v>0</v>
      </c>
      <c r="H51" s="49" t="str">
        <f t="shared" si="10"/>
        <v>-</v>
      </c>
      <c r="I51" s="50" t="str">
        <f t="shared" si="4"/>
        <v>-</v>
      </c>
      <c r="J51" s="50">
        <f>IF(ISERROR(VLOOKUP(MONTH(H51),справочник!$A$1:$B$12,2,FALSE))=TRUE,0,VLOOKUP(MONTH(H51),справочник!$A$1:$B$12,2,FALSE))</f>
        <v>0</v>
      </c>
      <c r="K51" s="50" t="str">
        <f t="shared" si="5"/>
        <v>0 кв -</v>
      </c>
      <c r="L51" s="51" t="str">
        <f t="shared" si="6"/>
        <v>-</v>
      </c>
    </row>
    <row r="52" spans="1:12" ht="15" customHeight="1">
      <c r="A52" s="44">
        <f t="shared" si="7"/>
        <v>9</v>
      </c>
      <c r="B52" s="49" t="str">
        <f t="shared" si="0"/>
        <v>-</v>
      </c>
      <c r="C52" s="50" t="str">
        <f t="shared" si="1"/>
        <v>-</v>
      </c>
      <c r="D52" s="50">
        <f>IF(ISERROR(VLOOKUP(MONTH(B52),справочник!$A$1:$B$12,2,FALSE))=TRUE,0,VLOOKUP(MONTH(B52),справочник!$A$1:$B$12,2,FALSE))</f>
        <v>0</v>
      </c>
      <c r="E52" s="50" t="str">
        <f t="shared" si="2"/>
        <v>0 кв -</v>
      </c>
      <c r="F52" s="51">
        <f t="shared" si="8"/>
        <v>0</v>
      </c>
      <c r="G52" s="51">
        <f t="shared" si="9"/>
        <v>0</v>
      </c>
      <c r="H52" s="49" t="str">
        <f t="shared" si="10"/>
        <v>-</v>
      </c>
      <c r="I52" s="50" t="str">
        <f t="shared" si="4"/>
        <v>-</v>
      </c>
      <c r="J52" s="50">
        <f>IF(ISERROR(VLOOKUP(MONTH(H52),справочник!$A$1:$B$12,2,FALSE))=TRUE,0,VLOOKUP(MONTH(H52),справочник!$A$1:$B$12,2,FALSE))</f>
        <v>0</v>
      </c>
      <c r="K52" s="50" t="str">
        <f t="shared" si="5"/>
        <v>0 кв -</v>
      </c>
      <c r="L52" s="51" t="str">
        <f t="shared" si="6"/>
        <v>-</v>
      </c>
    </row>
    <row r="53" spans="1:12" ht="15" customHeight="1">
      <c r="A53" s="44">
        <f t="shared" si="7"/>
        <v>9</v>
      </c>
      <c r="B53" s="49" t="str">
        <f t="shared" si="0"/>
        <v>-</v>
      </c>
      <c r="C53" s="50" t="str">
        <f t="shared" si="1"/>
        <v>-</v>
      </c>
      <c r="D53" s="50">
        <f>IF(ISERROR(VLOOKUP(MONTH(B53),справочник!$A$1:$B$12,2,FALSE))=TRUE,0,VLOOKUP(MONTH(B53),справочник!$A$1:$B$12,2,FALSE))</f>
        <v>0</v>
      </c>
      <c r="E53" s="50" t="str">
        <f t="shared" si="2"/>
        <v>0 кв -</v>
      </c>
      <c r="F53" s="51">
        <f t="shared" si="8"/>
        <v>0</v>
      </c>
      <c r="G53" s="51">
        <f t="shared" si="9"/>
        <v>0</v>
      </c>
      <c r="H53" s="49" t="str">
        <f t="shared" si="10"/>
        <v>-</v>
      </c>
      <c r="I53" s="50" t="str">
        <f t="shared" si="4"/>
        <v>-</v>
      </c>
      <c r="J53" s="50">
        <f>IF(ISERROR(VLOOKUP(MONTH(H53),справочник!$A$1:$B$12,2,FALSE))=TRUE,0,VLOOKUP(MONTH(H53),справочник!$A$1:$B$12,2,FALSE))</f>
        <v>0</v>
      </c>
      <c r="K53" s="50" t="str">
        <f t="shared" si="5"/>
        <v>0 кв -</v>
      </c>
      <c r="L53" s="51" t="str">
        <f t="shared" si="6"/>
        <v>-</v>
      </c>
    </row>
    <row r="54" spans="1:12" ht="15" customHeight="1">
      <c r="A54" s="44">
        <f t="shared" si="7"/>
        <v>9</v>
      </c>
      <c r="B54" s="49" t="str">
        <f t="shared" si="0"/>
        <v>-</v>
      </c>
      <c r="C54" s="50" t="str">
        <f t="shared" si="1"/>
        <v>-</v>
      </c>
      <c r="D54" s="50">
        <f>IF(ISERROR(VLOOKUP(MONTH(B54),справочник!$A$1:$B$12,2,FALSE))=TRUE,0,VLOOKUP(MONTH(B54),справочник!$A$1:$B$12,2,FALSE))</f>
        <v>0</v>
      </c>
      <c r="E54" s="50" t="str">
        <f t="shared" si="2"/>
        <v>0 кв -</v>
      </c>
      <c r="F54" s="51">
        <f t="shared" si="8"/>
        <v>0</v>
      </c>
      <c r="G54" s="51">
        <f t="shared" si="9"/>
        <v>0</v>
      </c>
      <c r="H54" s="49" t="str">
        <f t="shared" si="10"/>
        <v>-</v>
      </c>
      <c r="I54" s="50" t="str">
        <f t="shared" si="4"/>
        <v>-</v>
      </c>
      <c r="J54" s="50">
        <f>IF(ISERROR(VLOOKUP(MONTH(H54),справочник!$A$1:$B$12,2,FALSE))=TRUE,0,VLOOKUP(MONTH(H54),справочник!$A$1:$B$12,2,FALSE))</f>
        <v>0</v>
      </c>
      <c r="K54" s="50" t="str">
        <f t="shared" si="5"/>
        <v>0 кв -</v>
      </c>
      <c r="L54" s="51" t="str">
        <f t="shared" si="6"/>
        <v>-</v>
      </c>
    </row>
    <row r="55" spans="1:12" ht="15" customHeight="1">
      <c r="B55" s="52"/>
      <c r="C55" s="52"/>
      <c r="D55" s="52"/>
      <c r="E55" s="52"/>
      <c r="F55" s="53">
        <f>SUM(F26:F54)</f>
        <v>5000</v>
      </c>
      <c r="G55" s="52"/>
      <c r="H55" s="52"/>
      <c r="I55" s="52"/>
      <c r="J55" s="52"/>
      <c r="K55" s="52"/>
      <c r="L55" s="53">
        <f>SUM(L26:L54)</f>
        <v>986.9863013698631</v>
      </c>
    </row>
    <row r="56" spans="1:12" ht="15" customHeight="1"/>
  </sheetData>
  <sheetProtection algorithmName="SHA-512" hashValue="Vb39fcXJAaY+bR3GsLMIfHCFuI9r0WPpnAT0T6apAeWf5EPHeA/SUDYpMU8usMSB0UJm4jefRqmI2fMZb5cZbA==" saltValue="AllzXVXzIuyYj165ug4yrA==" spinCount="100000" sheet="1" objects="1" scenarios="1"/>
  <mergeCells count="16">
    <mergeCell ref="B6:B7"/>
    <mergeCell ref="B22:G22"/>
    <mergeCell ref="H22:L22"/>
    <mergeCell ref="B24:B25"/>
    <mergeCell ref="C24:C25"/>
    <mergeCell ref="D24:D25"/>
    <mergeCell ref="F24:F25"/>
    <mergeCell ref="G24:G25"/>
    <mergeCell ref="H24:H25"/>
    <mergeCell ref="I24:I25"/>
    <mergeCell ref="E24:E25"/>
    <mergeCell ref="K24:K25"/>
    <mergeCell ref="B18:B19"/>
    <mergeCell ref="F18:F19"/>
    <mergeCell ref="J24:J25"/>
    <mergeCell ref="L24:L25"/>
  </mergeCells>
  <conditionalFormatting sqref="D18:E18 D20:E20">
    <cfRule type="cellIs" dxfId="24" priority="1" operator="equal">
      <formula>"Q"</formula>
    </cfRule>
    <cfRule type="cellIs" dxfId="23" priority="2" operator="equal">
      <formula>"R"</formula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'Программы финансирования'!$G$21:$G$26</xm:f>
          </x14:formula1>
          <xm:sqref>F18:F19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79998168889431442"/>
  </sheetPr>
  <dimension ref="A9:BA408"/>
  <sheetViews>
    <sheetView zoomScale="80" zoomScaleNormal="80" workbookViewId="0">
      <selection activeCell="K85" sqref="K85"/>
    </sheetView>
  </sheetViews>
  <sheetFormatPr defaultColWidth="9.140625" defaultRowHeight="15" outlineLevelRow="1"/>
  <cols>
    <col min="1" max="1" width="9.140625" style="1"/>
    <col min="2" max="2" width="62.140625" style="1" customWidth="1"/>
    <col min="3" max="3" width="31.5703125" style="1" customWidth="1"/>
    <col min="4" max="4" width="25.85546875" style="1" customWidth="1"/>
    <col min="5" max="5" width="21.5703125" style="1" customWidth="1"/>
    <col min="6" max="6" width="21.140625" style="1" customWidth="1"/>
    <col min="7" max="7" width="21.28515625" style="1" customWidth="1"/>
    <col min="8" max="8" width="16" style="1" customWidth="1"/>
    <col min="9" max="9" width="19.5703125" style="1" customWidth="1"/>
    <col min="10" max="11" width="16" style="1" customWidth="1"/>
    <col min="12" max="13" width="15.42578125" style="1" customWidth="1"/>
    <col min="14" max="14" width="21.28515625" style="1" customWidth="1"/>
    <col min="15" max="15" width="15.5703125" style="1" customWidth="1"/>
    <col min="16" max="40" width="14.42578125" style="1" customWidth="1"/>
    <col min="41" max="44" width="10.7109375" style="1" customWidth="1"/>
    <col min="45" max="16384" width="9.140625" style="1"/>
  </cols>
  <sheetData>
    <row r="9" spans="2:9" ht="31.5">
      <c r="B9" s="58" t="s">
        <v>106</v>
      </c>
    </row>
    <row r="11" spans="2:9" ht="21">
      <c r="B11" s="61" t="s">
        <v>115</v>
      </c>
    </row>
    <row r="13" spans="2:9" ht="17.25" customHeight="1">
      <c r="B13" s="100" t="s">
        <v>511</v>
      </c>
      <c r="C13" s="346" t="s">
        <v>510</v>
      </c>
      <c r="D13" s="346"/>
      <c r="E13" s="346"/>
      <c r="F13" s="346"/>
      <c r="G13" s="346"/>
    </row>
    <row r="14" spans="2:9" ht="46.5" customHeight="1">
      <c r="B14" s="100" t="s">
        <v>116</v>
      </c>
      <c r="C14" s="357">
        <f>'Параметры займа'!F11</f>
        <v>0</v>
      </c>
      <c r="D14" s="357"/>
      <c r="E14" s="357"/>
      <c r="F14" s="357"/>
      <c r="G14" s="357"/>
    </row>
    <row r="15" spans="2:9" ht="17.25" customHeight="1">
      <c r="B15" s="100" t="s">
        <v>117</v>
      </c>
      <c r="C15" s="346" t="s">
        <v>113</v>
      </c>
      <c r="D15" s="346"/>
      <c r="E15" s="346"/>
      <c r="F15" s="346"/>
      <c r="G15" s="346"/>
    </row>
    <row r="16" spans="2:9" ht="17.25" customHeight="1">
      <c r="B16" s="100" t="s">
        <v>497</v>
      </c>
      <c r="C16" s="346" t="s">
        <v>126</v>
      </c>
      <c r="D16" s="346"/>
      <c r="E16" s="346"/>
      <c r="F16" s="346"/>
      <c r="G16" s="346"/>
      <c r="H16" s="272" t="str">
        <f>IF(ISERROR(VLOOKUP(C16,справочник!A27:B36,2,FALSE))=TRUE,0,VLOOKUP(C16,справочник!A27:B36,2,FALSE))</f>
        <v>да</v>
      </c>
      <c r="I16" s="44" t="str">
        <f>IF(C16=справочник!A36,справочник!A16,справочник!A17)</f>
        <v>да</v>
      </c>
    </row>
    <row r="17" spans="2:11" ht="17.25" customHeight="1">
      <c r="B17" s="100" t="s">
        <v>195</v>
      </c>
      <c r="C17" s="345">
        <v>0.02</v>
      </c>
      <c r="D17" s="346"/>
      <c r="E17" s="346"/>
      <c r="F17" s="346"/>
      <c r="G17" s="346"/>
      <c r="H17" s="273" t="str">
        <f>(IF(C17=0,IF('Параметры займа'!F18='Программы финансирования'!G22,"внеси ставку комиисси"," ")," "))</f>
        <v xml:space="preserve"> </v>
      </c>
      <c r="I17" s="273"/>
      <c r="J17" s="202"/>
      <c r="K17" s="202"/>
    </row>
    <row r="18" spans="2:11" ht="17.25" customHeight="1">
      <c r="B18" s="100" t="s">
        <v>498</v>
      </c>
      <c r="C18" s="345" t="s">
        <v>404</v>
      </c>
      <c r="D18" s="346"/>
      <c r="E18" s="346"/>
      <c r="F18" s="346"/>
      <c r="G18" s="346"/>
      <c r="H18" s="274">
        <f>HLOOKUP(C18,'Квартальная отчетность'!L14:AO16,3)</f>
        <v>30</v>
      </c>
      <c r="I18" s="273"/>
      <c r="J18" s="202"/>
      <c r="K18" s="202"/>
    </row>
    <row r="20" spans="2:11" ht="21">
      <c r="B20" s="61" t="s">
        <v>334</v>
      </c>
      <c r="C20" s="59"/>
      <c r="D20" s="59"/>
      <c r="E20" s="59"/>
      <c r="F20" s="59"/>
      <c r="G20" s="59"/>
    </row>
    <row r="21" spans="2:11" ht="26.25" customHeight="1">
      <c r="B21" s="62" t="s">
        <v>499</v>
      </c>
      <c r="C21" s="59"/>
      <c r="D21" s="59"/>
      <c r="E21" s="59"/>
      <c r="F21" s="59"/>
      <c r="G21" s="60"/>
    </row>
    <row r="22" spans="2:11" ht="46.9" customHeight="1">
      <c r="B22" s="81" t="s">
        <v>62</v>
      </c>
      <c r="C22" s="81" t="s">
        <v>320</v>
      </c>
      <c r="D22" s="81" t="s">
        <v>321</v>
      </c>
      <c r="E22" s="81" t="s">
        <v>107</v>
      </c>
      <c r="F22" s="81" t="s">
        <v>384</v>
      </c>
      <c r="G22" s="81" t="s">
        <v>108</v>
      </c>
      <c r="H22" s="81" t="s">
        <v>109</v>
      </c>
      <c r="I22" s="81" t="s">
        <v>110</v>
      </c>
      <c r="J22" s="81" t="s">
        <v>111</v>
      </c>
    </row>
    <row r="23" spans="2:11" ht="23.25" customHeight="1">
      <c r="B23" s="64" t="s">
        <v>513</v>
      </c>
      <c r="C23" s="65" t="s">
        <v>351</v>
      </c>
      <c r="D23" s="65" t="s">
        <v>343</v>
      </c>
      <c r="E23" s="65" t="s">
        <v>113</v>
      </c>
      <c r="F23" s="188">
        <v>0.22</v>
      </c>
      <c r="G23" s="66" t="s">
        <v>129</v>
      </c>
      <c r="H23" s="66" t="s">
        <v>129</v>
      </c>
      <c r="I23" s="67">
        <v>0.2</v>
      </c>
      <c r="J23" s="65" t="s">
        <v>113</v>
      </c>
    </row>
    <row r="24" spans="2:11" ht="12.75" customHeight="1">
      <c r="B24" s="64" t="s">
        <v>514</v>
      </c>
      <c r="C24" s="65" t="s">
        <v>324</v>
      </c>
      <c r="D24" s="65" t="s">
        <v>343</v>
      </c>
      <c r="E24" s="65" t="s">
        <v>113</v>
      </c>
      <c r="F24" s="188">
        <v>0.22</v>
      </c>
      <c r="G24" s="66" t="s">
        <v>129</v>
      </c>
      <c r="H24" s="66" t="s">
        <v>129</v>
      </c>
      <c r="I24" s="67">
        <v>0.2</v>
      </c>
      <c r="J24" s="65" t="s">
        <v>114</v>
      </c>
    </row>
    <row r="25" spans="2:11" ht="12.75" customHeight="1">
      <c r="B25" s="64" t="s">
        <v>515</v>
      </c>
      <c r="C25" s="65" t="s">
        <v>324</v>
      </c>
      <c r="D25" s="65" t="s">
        <v>343</v>
      </c>
      <c r="E25" s="65" t="s">
        <v>113</v>
      </c>
      <c r="F25" s="188">
        <v>0.22</v>
      </c>
      <c r="G25" s="66" t="s">
        <v>129</v>
      </c>
      <c r="H25" s="66" t="s">
        <v>129</v>
      </c>
      <c r="I25" s="67">
        <v>0.2</v>
      </c>
      <c r="J25" s="65" t="s">
        <v>114</v>
      </c>
    </row>
    <row r="26" spans="2:11" ht="30" customHeight="1">
      <c r="B26" s="64" t="s">
        <v>516</v>
      </c>
      <c r="C26" s="65" t="s">
        <v>323</v>
      </c>
      <c r="D26" s="65" t="s">
        <v>343</v>
      </c>
      <c r="E26" s="65" t="s">
        <v>113</v>
      </c>
      <c r="F26" s="188">
        <v>0.22</v>
      </c>
      <c r="G26" s="66" t="s">
        <v>129</v>
      </c>
      <c r="H26" s="66" t="s">
        <v>129</v>
      </c>
      <c r="I26" s="67">
        <v>0.2</v>
      </c>
      <c r="J26" s="65" t="s">
        <v>114</v>
      </c>
    </row>
    <row r="27" spans="2:11" ht="12.75" customHeight="1">
      <c r="B27" s="64" t="s">
        <v>517</v>
      </c>
      <c r="C27" s="65" t="s">
        <v>323</v>
      </c>
      <c r="D27" s="65" t="s">
        <v>344</v>
      </c>
      <c r="E27" s="65" t="s">
        <v>114</v>
      </c>
      <c r="F27" s="188">
        <v>0.22</v>
      </c>
      <c r="G27" s="66" t="s">
        <v>129</v>
      </c>
      <c r="H27" s="66" t="s">
        <v>129</v>
      </c>
      <c r="I27" s="67">
        <v>0.2</v>
      </c>
      <c r="J27" s="65" t="s">
        <v>114</v>
      </c>
    </row>
    <row r="28" spans="2:11" ht="12.75" customHeight="1">
      <c r="B28" s="64" t="s">
        <v>518</v>
      </c>
      <c r="C28" s="65" t="s">
        <v>323</v>
      </c>
      <c r="D28" s="65" t="s">
        <v>343</v>
      </c>
      <c r="E28" s="65" t="s">
        <v>114</v>
      </c>
      <c r="F28" s="188">
        <v>0.22</v>
      </c>
      <c r="G28" s="66" t="s">
        <v>129</v>
      </c>
      <c r="H28" s="66" t="s">
        <v>129</v>
      </c>
      <c r="I28" s="67">
        <v>0.2</v>
      </c>
      <c r="J28" s="65" t="s">
        <v>114</v>
      </c>
    </row>
    <row r="29" spans="2:11" ht="12.75" customHeight="1">
      <c r="B29" s="64" t="s">
        <v>519</v>
      </c>
      <c r="C29" s="65" t="s">
        <v>324</v>
      </c>
      <c r="D29" s="65" t="s">
        <v>343</v>
      </c>
      <c r="E29" s="65" t="s">
        <v>114</v>
      </c>
      <c r="F29" s="188">
        <v>0.22</v>
      </c>
      <c r="G29" s="66" t="s">
        <v>129</v>
      </c>
      <c r="H29" s="66" t="s">
        <v>129</v>
      </c>
      <c r="I29" s="67">
        <v>0.2</v>
      </c>
      <c r="J29" s="65" t="s">
        <v>114</v>
      </c>
    </row>
    <row r="30" spans="2:11" ht="12.75" customHeight="1">
      <c r="B30" s="64" t="s">
        <v>520</v>
      </c>
      <c r="C30" s="65" t="s">
        <v>324</v>
      </c>
      <c r="D30" s="65" t="s">
        <v>343</v>
      </c>
      <c r="E30" s="65" t="s">
        <v>114</v>
      </c>
      <c r="F30" s="188">
        <v>0.22</v>
      </c>
      <c r="G30" s="66" t="s">
        <v>129</v>
      </c>
      <c r="H30" s="66" t="s">
        <v>129</v>
      </c>
      <c r="I30" s="67">
        <v>0.2</v>
      </c>
      <c r="J30" s="65" t="s">
        <v>114</v>
      </c>
    </row>
    <row r="31" spans="2:11" outlineLevel="1">
      <c r="B31" s="64" t="s">
        <v>319</v>
      </c>
      <c r="C31" s="65"/>
      <c r="D31" s="65"/>
      <c r="E31" s="65"/>
      <c r="F31" s="188">
        <v>0.22</v>
      </c>
      <c r="G31" s="66"/>
      <c r="H31" s="66"/>
      <c r="I31" s="67"/>
      <c r="J31" s="65"/>
    </row>
    <row r="32" spans="2:11" outlineLevel="1">
      <c r="B32" s="64" t="s">
        <v>159</v>
      </c>
      <c r="C32" s="65"/>
      <c r="D32" s="65"/>
      <c r="E32" s="65"/>
      <c r="F32" s="188">
        <v>0.22</v>
      </c>
      <c r="G32" s="66"/>
      <c r="H32" s="66"/>
      <c r="I32" s="67"/>
      <c r="J32" s="65"/>
    </row>
    <row r="33" spans="2:10" outlineLevel="1">
      <c r="B33" s="64" t="s">
        <v>160</v>
      </c>
      <c r="C33" s="65"/>
      <c r="D33" s="65"/>
      <c r="E33" s="65"/>
      <c r="F33" s="188">
        <v>0.22</v>
      </c>
      <c r="G33" s="66"/>
      <c r="H33" s="66"/>
      <c r="I33" s="67"/>
      <c r="J33" s="65"/>
    </row>
    <row r="34" spans="2:10" outlineLevel="1">
      <c r="B34" s="64" t="s">
        <v>161</v>
      </c>
      <c r="C34" s="65"/>
      <c r="D34" s="65"/>
      <c r="E34" s="65"/>
      <c r="F34" s="188">
        <v>0.22</v>
      </c>
      <c r="G34" s="66"/>
      <c r="H34" s="66"/>
      <c r="I34" s="67"/>
      <c r="J34" s="65"/>
    </row>
    <row r="35" spans="2:10" outlineLevel="1">
      <c r="B35" s="64" t="s">
        <v>162</v>
      </c>
      <c r="C35" s="65"/>
      <c r="D35" s="65"/>
      <c r="E35" s="65"/>
      <c r="F35" s="188">
        <v>0.22</v>
      </c>
      <c r="G35" s="66"/>
      <c r="H35" s="66"/>
      <c r="I35" s="67"/>
      <c r="J35" s="65"/>
    </row>
    <row r="36" spans="2:10" outlineLevel="1">
      <c r="B36" s="64" t="s">
        <v>163</v>
      </c>
      <c r="C36" s="65"/>
      <c r="D36" s="65"/>
      <c r="E36" s="65"/>
      <c r="F36" s="188">
        <v>0.22</v>
      </c>
      <c r="G36" s="66"/>
      <c r="H36" s="66"/>
      <c r="I36" s="67"/>
      <c r="J36" s="65"/>
    </row>
    <row r="37" spans="2:10" outlineLevel="1">
      <c r="B37" s="64" t="s">
        <v>164</v>
      </c>
      <c r="C37" s="65"/>
      <c r="D37" s="65"/>
      <c r="E37" s="65"/>
      <c r="F37" s="188">
        <v>0.22</v>
      </c>
      <c r="G37" s="66"/>
      <c r="H37" s="66"/>
      <c r="I37" s="67"/>
      <c r="J37" s="65"/>
    </row>
    <row r="38" spans="2:10" outlineLevel="1">
      <c r="B38" s="64" t="s">
        <v>165</v>
      </c>
      <c r="C38" s="65"/>
      <c r="D38" s="65"/>
      <c r="E38" s="65"/>
      <c r="F38" s="188">
        <v>0.22</v>
      </c>
      <c r="G38" s="66"/>
      <c r="H38" s="66"/>
      <c r="I38" s="67"/>
      <c r="J38" s="65"/>
    </row>
    <row r="39" spans="2:10" outlineLevel="1">
      <c r="B39" s="64" t="s">
        <v>166</v>
      </c>
      <c r="C39" s="65"/>
      <c r="D39" s="65"/>
      <c r="E39" s="65"/>
      <c r="F39" s="188">
        <v>0.22</v>
      </c>
      <c r="G39" s="66"/>
      <c r="H39" s="66"/>
      <c r="I39" s="67"/>
      <c r="J39" s="65"/>
    </row>
    <row r="40" spans="2:10" outlineLevel="1">
      <c r="B40" s="64" t="s">
        <v>167</v>
      </c>
      <c r="C40" s="65"/>
      <c r="D40" s="65"/>
      <c r="E40" s="65"/>
      <c r="F40" s="188">
        <v>0.22</v>
      </c>
      <c r="G40" s="66"/>
      <c r="H40" s="66"/>
      <c r="I40" s="67"/>
      <c r="J40" s="65"/>
    </row>
    <row r="41" spans="2:10" outlineLevel="1">
      <c r="B41" s="64" t="s">
        <v>168</v>
      </c>
      <c r="C41" s="65"/>
      <c r="D41" s="65"/>
      <c r="E41" s="65"/>
      <c r="F41" s="188">
        <v>0.22</v>
      </c>
      <c r="G41" s="66"/>
      <c r="H41" s="66"/>
      <c r="I41" s="67"/>
      <c r="J41" s="65"/>
    </row>
    <row r="42" spans="2:10" outlineLevel="1">
      <c r="B42" s="64" t="s">
        <v>169</v>
      </c>
      <c r="C42" s="65"/>
      <c r="D42" s="65"/>
      <c r="E42" s="65"/>
      <c r="F42" s="188">
        <v>0.22</v>
      </c>
      <c r="G42" s="66"/>
      <c r="H42" s="66"/>
      <c r="I42" s="67"/>
      <c r="J42" s="65"/>
    </row>
    <row r="44" spans="2:10" ht="15.75">
      <c r="B44" s="62" t="s">
        <v>470</v>
      </c>
    </row>
    <row r="45" spans="2:10" ht="45">
      <c r="B45" s="81" t="s">
        <v>62</v>
      </c>
      <c r="C45" s="81" t="s">
        <v>320</v>
      </c>
      <c r="D45" s="81" t="s">
        <v>107</v>
      </c>
      <c r="E45" s="81" t="s">
        <v>384</v>
      </c>
    </row>
    <row r="46" spans="2:10">
      <c r="B46" s="301" t="s">
        <v>535</v>
      </c>
      <c r="C46" s="147" t="str">
        <f>'Программы финансирования'!$B$39</f>
        <v>Закупка сырья и материалов</v>
      </c>
      <c r="D46" s="65" t="s">
        <v>113</v>
      </c>
      <c r="E46" s="302">
        <v>0.22</v>
      </c>
    </row>
    <row r="47" spans="2:10">
      <c r="B47" s="183" t="s">
        <v>380</v>
      </c>
      <c r="C47" s="183" t="str">
        <f>'Программы финансирования'!$B$40</f>
        <v>Общехозяйственные</v>
      </c>
      <c r="D47" s="184" t="str">
        <f>справочник!A17</f>
        <v>нет</v>
      </c>
      <c r="E47" s="184"/>
    </row>
    <row r="48" spans="2:10">
      <c r="B48" s="185" t="s">
        <v>197</v>
      </c>
      <c r="C48" s="183" t="str">
        <f>'Программы финансирования'!$B$40</f>
        <v>Общехозяйственные</v>
      </c>
      <c r="D48" s="65" t="s">
        <v>113</v>
      </c>
      <c r="E48" s="302">
        <v>0.22</v>
      </c>
    </row>
    <row r="50" spans="1:53" ht="15.75">
      <c r="B50" s="62" t="s">
        <v>500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</row>
    <row r="51" spans="1:53" ht="26.25" customHeight="1">
      <c r="B51" s="62" t="s">
        <v>130</v>
      </c>
      <c r="C51" s="59"/>
      <c r="D51" s="59"/>
      <c r="E51" s="62" t="s">
        <v>131</v>
      </c>
      <c r="F51" s="59"/>
      <c r="G51" s="60"/>
      <c r="N51" s="62" t="s">
        <v>132</v>
      </c>
    </row>
    <row r="52" spans="1:53" s="41" customFormat="1" ht="15" customHeight="1">
      <c r="B52" s="347" t="s">
        <v>62</v>
      </c>
      <c r="C52" s="347" t="s">
        <v>133</v>
      </c>
      <c r="D52" s="276"/>
      <c r="E52" s="347" t="s">
        <v>62</v>
      </c>
      <c r="F52" s="347"/>
      <c r="G52" s="347"/>
      <c r="H52" s="347" t="s">
        <v>133</v>
      </c>
      <c r="I52" s="347" t="s">
        <v>339</v>
      </c>
      <c r="J52" s="347" t="s">
        <v>349</v>
      </c>
      <c r="K52" s="347" t="s">
        <v>350</v>
      </c>
      <c r="L52" s="347" t="s">
        <v>335</v>
      </c>
      <c r="M52" s="276"/>
      <c r="N52" s="347" t="s">
        <v>71</v>
      </c>
      <c r="O52" s="74">
        <v>1</v>
      </c>
      <c r="P52" s="74">
        <v>2</v>
      </c>
      <c r="Q52" s="74">
        <v>3</v>
      </c>
      <c r="R52" s="74">
        <v>4</v>
      </c>
      <c r="S52" s="74">
        <v>5</v>
      </c>
      <c r="T52" s="74">
        <v>6</v>
      </c>
      <c r="U52" s="74">
        <v>7</v>
      </c>
      <c r="V52" s="74">
        <v>8</v>
      </c>
      <c r="W52" s="74">
        <v>9</v>
      </c>
      <c r="X52" s="74">
        <v>10</v>
      </c>
      <c r="Y52" s="74">
        <v>11</v>
      </c>
      <c r="Z52" s="74">
        <v>12</v>
      </c>
      <c r="AA52" s="74">
        <v>13</v>
      </c>
      <c r="AB52" s="74">
        <v>14</v>
      </c>
      <c r="AC52" s="74">
        <v>15</v>
      </c>
      <c r="AD52" s="74">
        <v>16</v>
      </c>
      <c r="AE52" s="74">
        <v>17</v>
      </c>
      <c r="AF52" s="74">
        <v>18</v>
      </c>
      <c r="AG52" s="74">
        <v>19</v>
      </c>
      <c r="AH52" s="74">
        <v>20</v>
      </c>
      <c r="AI52" s="74">
        <v>21</v>
      </c>
      <c r="AJ52" s="74">
        <v>22</v>
      </c>
      <c r="AK52" s="74">
        <v>23</v>
      </c>
      <c r="AL52" s="74">
        <v>24</v>
      </c>
      <c r="AM52" s="74">
        <v>25</v>
      </c>
      <c r="AN52" s="74">
        <v>26</v>
      </c>
      <c r="AO52" s="74">
        <v>27</v>
      </c>
      <c r="AP52" s="74">
        <v>28</v>
      </c>
      <c r="AQ52" s="74">
        <v>29</v>
      </c>
      <c r="AR52" s="74">
        <v>30</v>
      </c>
    </row>
    <row r="53" spans="1:53" s="41" customFormat="1">
      <c r="A53" s="275"/>
      <c r="B53" s="347"/>
      <c r="C53" s="347"/>
      <c r="D53" s="276"/>
      <c r="E53" s="347"/>
      <c r="F53" s="347"/>
      <c r="G53" s="347"/>
      <c r="H53" s="347"/>
      <c r="I53" s="347"/>
      <c r="J53" s="347"/>
      <c r="K53" s="347"/>
      <c r="L53" s="347"/>
      <c r="M53" s="276"/>
      <c r="N53" s="347"/>
      <c r="O53" s="75">
        <f>'Параметры займа'!L11</f>
        <v>46023</v>
      </c>
      <c r="P53" s="75">
        <f>DATE(YEAR(O53),MONTH(O53)+3,DAY(O53))</f>
        <v>46113</v>
      </c>
      <c r="Q53" s="75">
        <f t="shared" ref="Q53:AR53" si="0">DATE(YEAR(P53),MONTH(P53)+3,DAY(P53))</f>
        <v>46204</v>
      </c>
      <c r="R53" s="75">
        <f t="shared" si="0"/>
        <v>46296</v>
      </c>
      <c r="S53" s="75">
        <f t="shared" si="0"/>
        <v>46388</v>
      </c>
      <c r="T53" s="75">
        <f t="shared" si="0"/>
        <v>46478</v>
      </c>
      <c r="U53" s="75">
        <f t="shared" si="0"/>
        <v>46569</v>
      </c>
      <c r="V53" s="75">
        <f t="shared" si="0"/>
        <v>46661</v>
      </c>
      <c r="W53" s="75">
        <f t="shared" si="0"/>
        <v>46753</v>
      </c>
      <c r="X53" s="75">
        <f t="shared" si="0"/>
        <v>46844</v>
      </c>
      <c r="Y53" s="75">
        <f t="shared" si="0"/>
        <v>46935</v>
      </c>
      <c r="Z53" s="75">
        <f t="shared" si="0"/>
        <v>47027</v>
      </c>
      <c r="AA53" s="75">
        <f t="shared" si="0"/>
        <v>47119</v>
      </c>
      <c r="AB53" s="75">
        <f t="shared" si="0"/>
        <v>47209</v>
      </c>
      <c r="AC53" s="75">
        <f t="shared" si="0"/>
        <v>47300</v>
      </c>
      <c r="AD53" s="75">
        <f t="shared" si="0"/>
        <v>47392</v>
      </c>
      <c r="AE53" s="75">
        <f t="shared" si="0"/>
        <v>47484</v>
      </c>
      <c r="AF53" s="75">
        <f t="shared" si="0"/>
        <v>47574</v>
      </c>
      <c r="AG53" s="75">
        <f t="shared" si="0"/>
        <v>47665</v>
      </c>
      <c r="AH53" s="75">
        <f t="shared" si="0"/>
        <v>47757</v>
      </c>
      <c r="AI53" s="75">
        <f t="shared" si="0"/>
        <v>47849</v>
      </c>
      <c r="AJ53" s="75">
        <f t="shared" si="0"/>
        <v>47939</v>
      </c>
      <c r="AK53" s="75">
        <f t="shared" si="0"/>
        <v>48030</v>
      </c>
      <c r="AL53" s="75">
        <f t="shared" si="0"/>
        <v>48122</v>
      </c>
      <c r="AM53" s="75">
        <f t="shared" si="0"/>
        <v>48214</v>
      </c>
      <c r="AN53" s="75">
        <f t="shared" si="0"/>
        <v>48305</v>
      </c>
      <c r="AO53" s="75">
        <f t="shared" si="0"/>
        <v>48396</v>
      </c>
      <c r="AP53" s="75">
        <f t="shared" si="0"/>
        <v>48488</v>
      </c>
      <c r="AQ53" s="75">
        <f t="shared" si="0"/>
        <v>48580</v>
      </c>
      <c r="AR53" s="75">
        <f t="shared" si="0"/>
        <v>48670</v>
      </c>
      <c r="AS53" s="289"/>
      <c r="AT53" s="289"/>
      <c r="AU53" s="289"/>
      <c r="AV53" s="289"/>
      <c r="AW53" s="289"/>
      <c r="AX53" s="289"/>
      <c r="AY53" s="289"/>
      <c r="AZ53" s="289"/>
      <c r="BA53" s="289"/>
    </row>
    <row r="54" spans="1:53" s="41" customFormat="1">
      <c r="A54" s="275"/>
      <c r="B54" s="347"/>
      <c r="C54" s="347"/>
      <c r="D54" s="276"/>
      <c r="E54" s="347"/>
      <c r="F54" s="347"/>
      <c r="G54" s="347"/>
      <c r="H54" s="347"/>
      <c r="I54" s="347"/>
      <c r="J54" s="347"/>
      <c r="K54" s="347"/>
      <c r="L54" s="347"/>
      <c r="M54" s="276"/>
      <c r="N54" s="347"/>
      <c r="O54" s="75">
        <f>DATE(YEAR(O53),MONTH(O53)+3,DAY(O53)-1)</f>
        <v>46112</v>
      </c>
      <c r="P54" s="75">
        <f>DATE(YEAR(P53),MONTH(P53)+3,DAY(P53)-1)</f>
        <v>46203</v>
      </c>
      <c r="Q54" s="75">
        <f t="shared" ref="Q54:AR54" si="1">DATE(YEAR(Q53),MONTH(Q53)+3,DAY(Q53)-1)</f>
        <v>46295</v>
      </c>
      <c r="R54" s="75">
        <f t="shared" si="1"/>
        <v>46387</v>
      </c>
      <c r="S54" s="75">
        <f t="shared" si="1"/>
        <v>46477</v>
      </c>
      <c r="T54" s="75">
        <f t="shared" si="1"/>
        <v>46568</v>
      </c>
      <c r="U54" s="75">
        <f t="shared" si="1"/>
        <v>46660</v>
      </c>
      <c r="V54" s="75">
        <f t="shared" si="1"/>
        <v>46752</v>
      </c>
      <c r="W54" s="75">
        <f t="shared" si="1"/>
        <v>46843</v>
      </c>
      <c r="X54" s="75">
        <f t="shared" si="1"/>
        <v>46934</v>
      </c>
      <c r="Y54" s="75">
        <f t="shared" si="1"/>
        <v>47026</v>
      </c>
      <c r="Z54" s="75">
        <f t="shared" si="1"/>
        <v>47118</v>
      </c>
      <c r="AA54" s="75">
        <f t="shared" si="1"/>
        <v>47208</v>
      </c>
      <c r="AB54" s="75">
        <f t="shared" si="1"/>
        <v>47299</v>
      </c>
      <c r="AC54" s="75">
        <f t="shared" si="1"/>
        <v>47391</v>
      </c>
      <c r="AD54" s="75">
        <f t="shared" si="1"/>
        <v>47483</v>
      </c>
      <c r="AE54" s="75">
        <f t="shared" si="1"/>
        <v>47573</v>
      </c>
      <c r="AF54" s="75">
        <f t="shared" si="1"/>
        <v>47664</v>
      </c>
      <c r="AG54" s="75">
        <f t="shared" si="1"/>
        <v>47756</v>
      </c>
      <c r="AH54" s="75">
        <f t="shared" si="1"/>
        <v>47848</v>
      </c>
      <c r="AI54" s="75">
        <f t="shared" si="1"/>
        <v>47938</v>
      </c>
      <c r="AJ54" s="75">
        <f t="shared" si="1"/>
        <v>48029</v>
      </c>
      <c r="AK54" s="75">
        <f t="shared" si="1"/>
        <v>48121</v>
      </c>
      <c r="AL54" s="75">
        <f t="shared" si="1"/>
        <v>48213</v>
      </c>
      <c r="AM54" s="75">
        <f t="shared" si="1"/>
        <v>48304</v>
      </c>
      <c r="AN54" s="75">
        <f t="shared" si="1"/>
        <v>48395</v>
      </c>
      <c r="AO54" s="75">
        <f t="shared" si="1"/>
        <v>48487</v>
      </c>
      <c r="AP54" s="75">
        <f t="shared" si="1"/>
        <v>48579</v>
      </c>
      <c r="AQ54" s="75">
        <f t="shared" si="1"/>
        <v>48669</v>
      </c>
      <c r="AR54" s="75">
        <f t="shared" si="1"/>
        <v>48760</v>
      </c>
      <c r="AS54" s="289"/>
      <c r="AT54" s="289"/>
      <c r="AU54" s="289"/>
      <c r="AV54" s="289"/>
      <c r="AW54" s="289"/>
      <c r="AX54" s="289"/>
      <c r="AY54" s="289"/>
      <c r="AZ54" s="289"/>
      <c r="BA54" s="289"/>
    </row>
    <row r="55" spans="1:53" s="41" customFormat="1">
      <c r="A55" s="275"/>
      <c r="B55" s="347"/>
      <c r="C55" s="347"/>
      <c r="D55" s="276"/>
      <c r="E55" s="347"/>
      <c r="F55" s="347"/>
      <c r="G55" s="347"/>
      <c r="H55" s="347"/>
      <c r="I55" s="347"/>
      <c r="J55" s="347"/>
      <c r="K55" s="347"/>
      <c r="L55" s="347"/>
      <c r="M55" s="276"/>
      <c r="N55" s="347"/>
      <c r="O55" s="75" t="str">
        <f>CONCATENATE(IF(ISERROR(VLOOKUP(MONTH(O53),справочник!$A$1:$B$12,2,FALSE))=TRUE,0,VLOOKUP(MONTH(O53),справочник!$A$1:$B$12,2,FALSE))," кв ",YEAR(O53))</f>
        <v>1 кв 2026</v>
      </c>
      <c r="P55" s="75" t="str">
        <f>CONCATENATE(IF(ISERROR(VLOOKUP(MONTH(P53),справочник!$A$1:$B$12,2,FALSE))=TRUE,0,VLOOKUP(MONTH(P53),справочник!$A$1:$B$12,2,FALSE))," кв ",YEAR(P53))</f>
        <v>2 кв 2026</v>
      </c>
      <c r="Q55" s="75" t="str">
        <f>CONCATENATE(IF(ISERROR(VLOOKUP(MONTH(Q53),справочник!$A$1:$B$12,2,FALSE))=TRUE,0,VLOOKUP(MONTH(Q53),справочник!$A$1:$B$12,2,FALSE))," кв ",YEAR(Q53))</f>
        <v>3 кв 2026</v>
      </c>
      <c r="R55" s="75" t="str">
        <f>CONCATENATE(IF(ISERROR(VLOOKUP(MONTH(R53),справочник!$A$1:$B$12,2,FALSE))=TRUE,0,VLOOKUP(MONTH(R53),справочник!$A$1:$B$12,2,FALSE))," кв ",YEAR(R53))</f>
        <v>4 кв 2026</v>
      </c>
      <c r="S55" s="75" t="str">
        <f>CONCATENATE(IF(ISERROR(VLOOKUP(MONTH(S53),справочник!$A$1:$B$12,2,FALSE))=TRUE,0,VLOOKUP(MONTH(S53),справочник!$A$1:$B$12,2,FALSE))," кв ",YEAR(S53))</f>
        <v>1 кв 2027</v>
      </c>
      <c r="T55" s="75" t="str">
        <f>CONCATENATE(IF(ISERROR(VLOOKUP(MONTH(T53),справочник!$A$1:$B$12,2,FALSE))=TRUE,0,VLOOKUP(MONTH(T53),справочник!$A$1:$B$12,2,FALSE))," кв ",YEAR(T53))</f>
        <v>2 кв 2027</v>
      </c>
      <c r="U55" s="75" t="str">
        <f>CONCATENATE(IF(ISERROR(VLOOKUP(MONTH(U53),справочник!$A$1:$B$12,2,FALSE))=TRUE,0,VLOOKUP(MONTH(U53),справочник!$A$1:$B$12,2,FALSE))," кв ",YEAR(U53))</f>
        <v>3 кв 2027</v>
      </c>
      <c r="V55" s="75" t="str">
        <f>CONCATENATE(IF(ISERROR(VLOOKUP(MONTH(V53),справочник!$A$1:$B$12,2,FALSE))=TRUE,0,VLOOKUP(MONTH(V53),справочник!$A$1:$B$12,2,FALSE))," кв ",YEAR(V53))</f>
        <v>4 кв 2027</v>
      </c>
      <c r="W55" s="75" t="str">
        <f>CONCATENATE(IF(ISERROR(VLOOKUP(MONTH(W53),справочник!$A$1:$B$12,2,FALSE))=TRUE,0,VLOOKUP(MONTH(W53),справочник!$A$1:$B$12,2,FALSE))," кв ",YEAR(W53))</f>
        <v>1 кв 2028</v>
      </c>
      <c r="X55" s="75" t="str">
        <f>CONCATENATE(IF(ISERROR(VLOOKUP(MONTH(X53),справочник!$A$1:$B$12,2,FALSE))=TRUE,0,VLOOKUP(MONTH(X53),справочник!$A$1:$B$12,2,FALSE))," кв ",YEAR(X53))</f>
        <v>2 кв 2028</v>
      </c>
      <c r="Y55" s="75" t="str">
        <f>CONCATENATE(IF(ISERROR(VLOOKUP(MONTH(Y53),справочник!$A$1:$B$12,2,FALSE))=TRUE,0,VLOOKUP(MONTH(Y53),справочник!$A$1:$B$12,2,FALSE))," кв ",YEAR(Y53))</f>
        <v>3 кв 2028</v>
      </c>
      <c r="Z55" s="75" t="str">
        <f>CONCATENATE(IF(ISERROR(VLOOKUP(MONTH(Z53),справочник!$A$1:$B$12,2,FALSE))=TRUE,0,VLOOKUP(MONTH(Z53),справочник!$A$1:$B$12,2,FALSE))," кв ",YEAR(Z53))</f>
        <v>4 кв 2028</v>
      </c>
      <c r="AA55" s="75" t="str">
        <f>CONCATENATE(IF(ISERROR(VLOOKUP(MONTH(AA53),справочник!$A$1:$B$12,2,FALSE))=TRUE,0,VLOOKUP(MONTH(AA53),справочник!$A$1:$B$12,2,FALSE))," кв ",YEAR(AA53))</f>
        <v>1 кв 2029</v>
      </c>
      <c r="AB55" s="75" t="str">
        <f>CONCATENATE(IF(ISERROR(VLOOKUP(MONTH(AB53),справочник!$A$1:$B$12,2,FALSE))=TRUE,0,VLOOKUP(MONTH(AB53),справочник!$A$1:$B$12,2,FALSE))," кв ",YEAR(AB53))</f>
        <v>2 кв 2029</v>
      </c>
      <c r="AC55" s="75" t="str">
        <f>CONCATENATE(IF(ISERROR(VLOOKUP(MONTH(AC53),справочник!$A$1:$B$12,2,FALSE))=TRUE,0,VLOOKUP(MONTH(AC53),справочник!$A$1:$B$12,2,FALSE))," кв ",YEAR(AC53))</f>
        <v>3 кв 2029</v>
      </c>
      <c r="AD55" s="75" t="str">
        <f>CONCATENATE(IF(ISERROR(VLOOKUP(MONTH(AD53),справочник!$A$1:$B$12,2,FALSE))=TRUE,0,VLOOKUP(MONTH(AD53),справочник!$A$1:$B$12,2,FALSE))," кв ",YEAR(AD53))</f>
        <v>4 кв 2029</v>
      </c>
      <c r="AE55" s="75" t="str">
        <f>CONCATENATE(IF(ISERROR(VLOOKUP(MONTH(AE53),справочник!$A$1:$B$12,2,FALSE))=TRUE,0,VLOOKUP(MONTH(AE53),справочник!$A$1:$B$12,2,FALSE))," кв ",YEAR(AE53))</f>
        <v>1 кв 2030</v>
      </c>
      <c r="AF55" s="75" t="str">
        <f>CONCATENATE(IF(ISERROR(VLOOKUP(MONTH(AF53),справочник!$A$1:$B$12,2,FALSE))=TRUE,0,VLOOKUP(MONTH(AF53),справочник!$A$1:$B$12,2,FALSE))," кв ",YEAR(AF53))</f>
        <v>2 кв 2030</v>
      </c>
      <c r="AG55" s="75" t="str">
        <f>CONCATENATE(IF(ISERROR(VLOOKUP(MONTH(AG53),справочник!$A$1:$B$12,2,FALSE))=TRUE,0,VLOOKUP(MONTH(AG53),справочник!$A$1:$B$12,2,FALSE))," кв ",YEAR(AG53))</f>
        <v>3 кв 2030</v>
      </c>
      <c r="AH55" s="75" t="str">
        <f>CONCATENATE(IF(ISERROR(VLOOKUP(MONTH(AH53),справочник!$A$1:$B$12,2,FALSE))=TRUE,0,VLOOKUP(MONTH(AH53),справочник!$A$1:$B$12,2,FALSE))," кв ",YEAR(AH53))</f>
        <v>4 кв 2030</v>
      </c>
      <c r="AI55" s="75" t="str">
        <f>CONCATENATE(IF(ISERROR(VLOOKUP(MONTH(AI53),справочник!$A$1:$B$12,2,FALSE))=TRUE,0,VLOOKUP(MONTH(AI53),справочник!$A$1:$B$12,2,FALSE))," кв ",YEAR(AI53))</f>
        <v>1 кв 2031</v>
      </c>
      <c r="AJ55" s="75" t="str">
        <f>CONCATENATE(IF(ISERROR(VLOOKUP(MONTH(AJ53),справочник!$A$1:$B$12,2,FALSE))=TRUE,0,VLOOKUP(MONTH(AJ53),справочник!$A$1:$B$12,2,FALSE))," кв ",YEAR(AJ53))</f>
        <v>2 кв 2031</v>
      </c>
      <c r="AK55" s="75" t="str">
        <f>CONCATENATE(IF(ISERROR(VLOOKUP(MONTH(AK53),справочник!$A$1:$B$12,2,FALSE))=TRUE,0,VLOOKUP(MONTH(AK53),справочник!$A$1:$B$12,2,FALSE))," кв ",YEAR(AK53))</f>
        <v>3 кв 2031</v>
      </c>
      <c r="AL55" s="75" t="str">
        <f>CONCATENATE(IF(ISERROR(VLOOKUP(MONTH(AL53),справочник!$A$1:$B$12,2,FALSE))=TRUE,0,VLOOKUP(MONTH(AL53),справочник!$A$1:$B$12,2,FALSE))," кв ",YEAR(AL53))</f>
        <v>4 кв 2031</v>
      </c>
      <c r="AM55" s="75" t="str">
        <f>CONCATENATE(IF(ISERROR(VLOOKUP(MONTH(AM53),справочник!$A$1:$B$12,2,FALSE))=TRUE,0,VLOOKUP(MONTH(AM53),справочник!$A$1:$B$12,2,FALSE))," кв ",YEAR(AM53))</f>
        <v>1 кв 2032</v>
      </c>
      <c r="AN55" s="75" t="str">
        <f>CONCATENATE(IF(ISERROR(VLOOKUP(MONTH(AN53),справочник!$A$1:$B$12,2,FALSE))=TRUE,0,VLOOKUP(MONTH(AN53),справочник!$A$1:$B$12,2,FALSE))," кв ",YEAR(AN53))</f>
        <v>2 кв 2032</v>
      </c>
      <c r="AO55" s="75" t="str">
        <f>CONCATENATE(IF(ISERROR(VLOOKUP(MONTH(AO53),справочник!$A$1:$B$12,2,FALSE))=TRUE,0,VLOOKUP(MONTH(AO53),справочник!$A$1:$B$12,2,FALSE))," кв ",YEAR(AO53))</f>
        <v>3 кв 2032</v>
      </c>
      <c r="AP55" s="75" t="str">
        <f>CONCATENATE(IF(ISERROR(VLOOKUP(MONTH(AP53),справочник!$A$1:$B$12,2,FALSE))=TRUE,0,VLOOKUP(MONTH(AP53),справочник!$A$1:$B$12,2,FALSE))," кв ",YEAR(AP53))</f>
        <v>4 кв 2032</v>
      </c>
      <c r="AQ55" s="75" t="str">
        <f>CONCATENATE(IF(ISERROR(VLOOKUP(MONTH(AQ53),справочник!$A$1:$B$12,2,FALSE))=TRUE,0,VLOOKUP(MONTH(AQ53),справочник!$A$1:$B$12,2,FALSE))," кв ",YEAR(AQ53))</f>
        <v>1 кв 2033</v>
      </c>
      <c r="AR55" s="75" t="str">
        <f>CONCATENATE(IF(ISERROR(VLOOKUP(MONTH(AR53),справочник!$A$1:$B$12,2,FALSE))=TRUE,0,VLOOKUP(MONTH(AR53),справочник!$A$1:$B$12,2,FALSE))," кв ",YEAR(AR53))</f>
        <v>2 кв 2033</v>
      </c>
      <c r="AS55" s="289"/>
      <c r="AT55" s="289"/>
      <c r="AU55" s="289"/>
      <c r="AV55" s="289"/>
      <c r="AW55" s="289"/>
      <c r="AX55" s="289"/>
      <c r="AY55" s="289"/>
      <c r="AZ55" s="289"/>
      <c r="BA55" s="289"/>
    </row>
    <row r="56" spans="1:53" ht="28.5" customHeight="1">
      <c r="A56" s="44" t="str">
        <f>CONCATENATE(IF(C23='Программы финансирования'!$B$34,справочник!$A$60,IF(C23='Программы финансирования'!$B$35,справочник!$A$60,0))," ",IF(D23=справочник!$A$53,справочник!$A$53,0))</f>
        <v>0 РФ</v>
      </c>
      <c r="B56" s="76" t="str">
        <f t="shared" ref="B56:B75" si="2">IF(B23=0,"-",B23)</f>
        <v>Оборудование 1</v>
      </c>
      <c r="C56" s="77">
        <v>17072.773000000001</v>
      </c>
      <c r="D56" s="277" t="str">
        <f t="shared" ref="D56:D75" si="3">C23</f>
        <v>СМР и прочее</v>
      </c>
      <c r="E56" s="348" t="str">
        <f>B56</f>
        <v>Оборудование 1</v>
      </c>
      <c r="F56" s="348"/>
      <c r="G56" s="348"/>
      <c r="H56" s="77"/>
      <c r="I56" s="171"/>
      <c r="J56" s="294" t="str">
        <f>IF(H56=0," ",H56*I56)</f>
        <v xml:space="preserve"> </v>
      </c>
      <c r="K56" s="294" t="str">
        <f>IF(H56=0," ",H56-J56)</f>
        <v xml:space="preserve"> </v>
      </c>
      <c r="L56" s="294">
        <f>C56+H56</f>
        <v>17072.773000000001</v>
      </c>
      <c r="M56" s="278">
        <f>ROUND(H56/(1+F23),2)</f>
        <v>0</v>
      </c>
      <c r="N56" s="71">
        <f>SUM(O56:AR56)</f>
        <v>0</v>
      </c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153">
        <f>IF(H56&gt;0,N56=1,0)</f>
        <v>0</v>
      </c>
      <c r="AT56" s="153"/>
      <c r="AU56" s="153"/>
      <c r="AV56" s="153"/>
      <c r="AW56" s="153"/>
      <c r="AX56" s="153"/>
      <c r="AY56" s="153"/>
      <c r="AZ56" s="153"/>
      <c r="BA56" s="153"/>
    </row>
    <row r="57" spans="1:53" ht="18" customHeight="1">
      <c r="A57" s="44" t="str">
        <f>CONCATENATE(IF(C24='Программы финансирования'!$B$34,справочник!$A$60,IF(C24='Программы финансирования'!$B$35,справочник!$A$60,0))," ",IF(D24=справочник!$A$53,справочник!$A$53,0))</f>
        <v>Оборудование РФ</v>
      </c>
      <c r="B57" s="76" t="str">
        <f t="shared" si="2"/>
        <v>Оборудование 2</v>
      </c>
      <c r="C57" s="77"/>
      <c r="D57" s="277" t="str">
        <f t="shared" si="3"/>
        <v>Вспомогательное оборудование, спецтехника, транспортные средства</v>
      </c>
      <c r="E57" s="348" t="str">
        <f t="shared" ref="E57:E75" si="4">B57</f>
        <v>Оборудование 2</v>
      </c>
      <c r="F57" s="348"/>
      <c r="G57" s="348"/>
      <c r="H57" s="77">
        <v>1667</v>
      </c>
      <c r="I57" s="171">
        <v>1</v>
      </c>
      <c r="J57" s="294">
        <f>IF(H57=0," ",H57*I57)</f>
        <v>1667</v>
      </c>
      <c r="K57" s="294">
        <f t="shared" ref="K57:K76" si="5">IF(H57=0," ",H57-J57)</f>
        <v>0</v>
      </c>
      <c r="L57" s="294">
        <f t="shared" ref="L57:L78" si="6">C57+H57</f>
        <v>1667</v>
      </c>
      <c r="M57" s="278">
        <f t="shared" ref="M57:M75" si="7">ROUND(H57/(1+F24),2)</f>
        <v>1366.39</v>
      </c>
      <c r="N57" s="71">
        <f t="shared" ref="N57:N75" si="8">SUM(O57:AR57)</f>
        <v>1</v>
      </c>
      <c r="O57" s="67">
        <v>1</v>
      </c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153" t="b">
        <f t="shared" ref="AS57:AS78" si="9">IF(H57&gt;0,N57=1,0)</f>
        <v>1</v>
      </c>
      <c r="AT57" s="153"/>
      <c r="AU57" s="153"/>
      <c r="AV57" s="153"/>
      <c r="AW57" s="153"/>
      <c r="AX57" s="153"/>
      <c r="AY57" s="153"/>
      <c r="AZ57" s="153"/>
      <c r="BA57" s="153"/>
    </row>
    <row r="58" spans="1:53" ht="18" customHeight="1">
      <c r="A58" s="44" t="str">
        <f>CONCATENATE(IF(C25='Программы финансирования'!$B$34,справочник!$A$60,IF(C25='Программы финансирования'!$B$35,справочник!$A$60,0))," ",IF(D25=справочник!$A$53,справочник!$A$53,0))</f>
        <v>Оборудование РФ</v>
      </c>
      <c r="B58" s="76" t="str">
        <f t="shared" si="2"/>
        <v>Оборудование 3</v>
      </c>
      <c r="C58" s="77"/>
      <c r="D58" s="277" t="str">
        <f t="shared" si="3"/>
        <v>Вспомогательное оборудование, спецтехника, транспортные средства</v>
      </c>
      <c r="E58" s="348" t="str">
        <f t="shared" si="4"/>
        <v>Оборудование 3</v>
      </c>
      <c r="F58" s="348"/>
      <c r="G58" s="348"/>
      <c r="H58" s="77">
        <v>2275</v>
      </c>
      <c r="I58" s="171">
        <v>1</v>
      </c>
      <c r="J58" s="294">
        <f t="shared" ref="J58:J78" si="10">IF(H58=0," ",H58*I58)</f>
        <v>2275</v>
      </c>
      <c r="K58" s="294">
        <f>IF(H58=0," ",H58-J58)</f>
        <v>0</v>
      </c>
      <c r="L58" s="294">
        <f t="shared" si="6"/>
        <v>2275</v>
      </c>
      <c r="M58" s="278">
        <f t="shared" si="7"/>
        <v>1864.75</v>
      </c>
      <c r="N58" s="71">
        <f t="shared" si="8"/>
        <v>1</v>
      </c>
      <c r="O58" s="67">
        <v>0.44750000000000001</v>
      </c>
      <c r="P58" s="67">
        <v>0.55249999999999999</v>
      </c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153" t="b">
        <f t="shared" si="9"/>
        <v>1</v>
      </c>
      <c r="AT58" s="153"/>
      <c r="AU58" s="153"/>
      <c r="AV58" s="153"/>
      <c r="AW58" s="153"/>
      <c r="AX58" s="153"/>
      <c r="AY58" s="153"/>
      <c r="AZ58" s="153"/>
      <c r="BA58" s="153"/>
    </row>
    <row r="59" spans="1:53" ht="30" customHeight="1">
      <c r="A59" s="44" t="str">
        <f>CONCATENATE(IF(C26='Программы финансирования'!$B$34,справочник!$A$60,IF(C26='Программы финансирования'!$B$35,справочник!$A$60,0))," ",IF(D26=справочник!$A$53,справочник!$A$53,0))</f>
        <v>Оборудование РФ</v>
      </c>
      <c r="B59" s="76" t="str">
        <f t="shared" si="2"/>
        <v>Оборудование 4</v>
      </c>
      <c r="C59" s="77"/>
      <c r="D59" s="277" t="str">
        <f t="shared" si="3"/>
        <v>Промышленое оборудование</v>
      </c>
      <c r="E59" s="348" t="str">
        <f t="shared" si="4"/>
        <v>Оборудование 4</v>
      </c>
      <c r="F59" s="348"/>
      <c r="G59" s="348"/>
      <c r="H59" s="77">
        <v>1800</v>
      </c>
      <c r="I59" s="171">
        <v>1</v>
      </c>
      <c r="J59" s="294">
        <f t="shared" si="10"/>
        <v>1800</v>
      </c>
      <c r="K59" s="294">
        <f t="shared" si="5"/>
        <v>0</v>
      </c>
      <c r="L59" s="294">
        <f t="shared" si="6"/>
        <v>1800</v>
      </c>
      <c r="M59" s="278">
        <f t="shared" si="7"/>
        <v>1475.41</v>
      </c>
      <c r="N59" s="71">
        <f>SUM(O59:AR59)</f>
        <v>1</v>
      </c>
      <c r="O59" s="67">
        <v>1</v>
      </c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153" t="b">
        <f t="shared" si="9"/>
        <v>1</v>
      </c>
      <c r="AT59" s="153"/>
      <c r="AU59" s="153"/>
      <c r="AV59" s="153"/>
      <c r="AW59" s="153"/>
      <c r="AX59" s="153"/>
      <c r="AY59" s="153"/>
      <c r="AZ59" s="153"/>
      <c r="BA59" s="153"/>
    </row>
    <row r="60" spans="1:53" ht="19.899999999999999" customHeight="1">
      <c r="A60" s="44" t="str">
        <f>CONCATENATE(IF(C27='Программы финансирования'!$B$34,справочник!$A$60,IF(C27='Программы финансирования'!$B$35,справочник!$A$60,0))," ",IF(D27=справочник!$A$53,справочник!$A$53,0))</f>
        <v>Оборудование 0</v>
      </c>
      <c r="B60" s="76" t="str">
        <f t="shared" si="2"/>
        <v>Оборудование 5</v>
      </c>
      <c r="C60" s="77"/>
      <c r="D60" s="277" t="str">
        <f t="shared" si="3"/>
        <v>Промышленое оборудование</v>
      </c>
      <c r="E60" s="348" t="str">
        <f t="shared" si="4"/>
        <v>Оборудование 5</v>
      </c>
      <c r="F60" s="348"/>
      <c r="G60" s="348"/>
      <c r="H60" s="77">
        <v>17899.2</v>
      </c>
      <c r="I60" s="171">
        <v>1</v>
      </c>
      <c r="J60" s="294">
        <f t="shared" si="10"/>
        <v>17899.2</v>
      </c>
      <c r="K60" s="294">
        <f t="shared" si="5"/>
        <v>0</v>
      </c>
      <c r="L60" s="294">
        <f t="shared" si="6"/>
        <v>17899.2</v>
      </c>
      <c r="M60" s="278">
        <f t="shared" si="7"/>
        <v>14671.48</v>
      </c>
      <c r="N60" s="71">
        <f t="shared" si="8"/>
        <v>0.99999999999999989</v>
      </c>
      <c r="O60" s="67">
        <v>0.3</v>
      </c>
      <c r="P60" s="67">
        <v>0.6</v>
      </c>
      <c r="Q60" s="67">
        <v>0.1</v>
      </c>
      <c r="R60" s="67"/>
      <c r="S60" s="77"/>
      <c r="T60" s="77"/>
      <c r="U60" s="7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153" t="b">
        <f t="shared" si="9"/>
        <v>1</v>
      </c>
      <c r="AT60" s="153"/>
      <c r="AU60" s="153"/>
      <c r="AV60" s="153"/>
      <c r="AW60" s="153"/>
      <c r="AX60" s="153"/>
      <c r="AY60" s="153"/>
      <c r="AZ60" s="153"/>
      <c r="BA60" s="153"/>
    </row>
    <row r="61" spans="1:53" ht="19.899999999999999" customHeight="1">
      <c r="A61" s="44" t="str">
        <f>CONCATENATE(IF(C28='Программы финансирования'!$B$34,справочник!$A$60,IF(C28='Программы финансирования'!$B$35,справочник!$A$60,0))," ",IF(D28=справочник!$A$53,справочник!$A$53,0))</f>
        <v>Оборудование РФ</v>
      </c>
      <c r="B61" s="76" t="str">
        <f t="shared" si="2"/>
        <v>Оборудование 6</v>
      </c>
      <c r="C61" s="77"/>
      <c r="D61" s="277" t="str">
        <f t="shared" si="3"/>
        <v>Промышленое оборудование</v>
      </c>
      <c r="E61" s="348" t="str">
        <f t="shared" si="4"/>
        <v>Оборудование 6</v>
      </c>
      <c r="F61" s="348"/>
      <c r="G61" s="348"/>
      <c r="H61" s="77">
        <v>1215.328</v>
      </c>
      <c r="I61" s="171">
        <v>1</v>
      </c>
      <c r="J61" s="294">
        <f t="shared" si="10"/>
        <v>1215.328</v>
      </c>
      <c r="K61" s="294">
        <f>IF(H61=0," ",H61-J61)</f>
        <v>0</v>
      </c>
      <c r="L61" s="294">
        <f t="shared" si="6"/>
        <v>1215.328</v>
      </c>
      <c r="M61" s="278">
        <f t="shared" si="7"/>
        <v>996.17</v>
      </c>
      <c r="N61" s="71">
        <f t="shared" si="8"/>
        <v>1</v>
      </c>
      <c r="O61" s="67"/>
      <c r="P61" s="67">
        <v>1</v>
      </c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153" t="b">
        <f t="shared" si="9"/>
        <v>1</v>
      </c>
      <c r="AT61" s="153"/>
      <c r="AU61" s="153"/>
      <c r="AV61" s="153"/>
      <c r="AW61" s="153"/>
      <c r="AX61" s="153"/>
      <c r="AY61" s="153"/>
      <c r="AZ61" s="153"/>
      <c r="BA61" s="153"/>
    </row>
    <row r="62" spans="1:53" ht="16.899999999999999" customHeight="1">
      <c r="A62" s="44" t="str">
        <f>CONCATENATE(IF(C29='Программы финансирования'!$B$34,справочник!$A$60,IF(C29='Программы финансирования'!$B$35,справочник!$A$60,0))," ",IF(D29=справочник!$A$53,справочник!$A$53,0))</f>
        <v>Оборудование РФ</v>
      </c>
      <c r="B62" s="76" t="str">
        <f t="shared" si="2"/>
        <v>Оборудование 7</v>
      </c>
      <c r="C62" s="77"/>
      <c r="D62" s="277" t="str">
        <f t="shared" si="3"/>
        <v>Вспомогательное оборудование, спецтехника, транспортные средства</v>
      </c>
      <c r="E62" s="348" t="str">
        <f t="shared" si="4"/>
        <v>Оборудование 7</v>
      </c>
      <c r="F62" s="348"/>
      <c r="G62" s="348"/>
      <c r="H62" s="77">
        <v>128.54</v>
      </c>
      <c r="I62" s="171">
        <v>1</v>
      </c>
      <c r="J62" s="294">
        <f t="shared" si="10"/>
        <v>128.54</v>
      </c>
      <c r="K62" s="294">
        <f t="shared" si="5"/>
        <v>0</v>
      </c>
      <c r="L62" s="294">
        <f t="shared" si="6"/>
        <v>128.54</v>
      </c>
      <c r="M62" s="278">
        <f t="shared" si="7"/>
        <v>105.36</v>
      </c>
      <c r="N62" s="71">
        <f t="shared" si="8"/>
        <v>1</v>
      </c>
      <c r="O62" s="67"/>
      <c r="P62" s="67">
        <v>1</v>
      </c>
      <c r="Q62" s="67"/>
      <c r="R62" s="67"/>
      <c r="S62" s="77"/>
      <c r="T62" s="77"/>
      <c r="U62" s="7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153" t="b">
        <f t="shared" si="9"/>
        <v>1</v>
      </c>
      <c r="AT62" s="153"/>
      <c r="AU62" s="153"/>
      <c r="AV62" s="153"/>
      <c r="AW62" s="153"/>
      <c r="AX62" s="153"/>
      <c r="AY62" s="153"/>
      <c r="AZ62" s="153"/>
      <c r="BA62" s="153"/>
    </row>
    <row r="63" spans="1:53">
      <c r="A63" s="44" t="str">
        <f>CONCATENATE(IF(C30='Программы финансирования'!$B$34,справочник!$A$60,IF(C30='Программы финансирования'!$B$35,справочник!$A$60,0))," ",IF(D30=справочник!$A$53,справочник!$A$53,0))</f>
        <v>Оборудование РФ</v>
      </c>
      <c r="B63" s="76" t="str">
        <f t="shared" si="2"/>
        <v>Оборудование 8</v>
      </c>
      <c r="C63" s="77"/>
      <c r="D63" s="277" t="str">
        <f t="shared" si="3"/>
        <v>Вспомогательное оборудование, спецтехника, транспортные средства</v>
      </c>
      <c r="E63" s="348" t="str">
        <f t="shared" si="4"/>
        <v>Оборудование 8</v>
      </c>
      <c r="F63" s="348"/>
      <c r="G63" s="348"/>
      <c r="H63" s="77">
        <v>623.1</v>
      </c>
      <c r="I63" s="171">
        <v>1</v>
      </c>
      <c r="J63" s="294">
        <f t="shared" si="10"/>
        <v>623.1</v>
      </c>
      <c r="K63" s="294">
        <f t="shared" si="5"/>
        <v>0</v>
      </c>
      <c r="L63" s="294">
        <f t="shared" si="6"/>
        <v>623.1</v>
      </c>
      <c r="M63" s="278">
        <f t="shared" si="7"/>
        <v>510.74</v>
      </c>
      <c r="N63" s="71">
        <f t="shared" si="8"/>
        <v>1</v>
      </c>
      <c r="O63" s="67"/>
      <c r="P63" s="67">
        <v>1</v>
      </c>
      <c r="Q63" s="67"/>
      <c r="R63" s="67"/>
      <c r="S63" s="77"/>
      <c r="T63" s="77"/>
      <c r="U63" s="7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153" t="b">
        <f t="shared" si="9"/>
        <v>1</v>
      </c>
      <c r="AT63" s="153"/>
      <c r="AU63" s="153"/>
      <c r="AV63" s="153"/>
      <c r="AW63" s="153"/>
      <c r="AX63" s="153"/>
      <c r="AY63" s="153"/>
      <c r="AZ63" s="153"/>
      <c r="BA63" s="153"/>
    </row>
    <row r="64" spans="1:53" outlineLevel="1">
      <c r="A64" s="44" t="str">
        <f>CONCATENATE(IF(C31='Программы финансирования'!$B$34,справочник!$A$60,IF(C31='Программы финансирования'!$B$35,справочник!$A$60,0))," ",IF(D31=справочник!$A$53,справочник!$A$53,0))</f>
        <v>0 0</v>
      </c>
      <c r="B64" s="76" t="str">
        <f t="shared" si="2"/>
        <v>Оборудование 9</v>
      </c>
      <c r="C64" s="77"/>
      <c r="D64" s="277">
        <f t="shared" si="3"/>
        <v>0</v>
      </c>
      <c r="E64" s="348" t="str">
        <f t="shared" si="4"/>
        <v>Оборудование 9</v>
      </c>
      <c r="F64" s="348"/>
      <c r="G64" s="348"/>
      <c r="H64" s="77"/>
      <c r="I64" s="171">
        <v>1</v>
      </c>
      <c r="J64" s="294" t="str">
        <f t="shared" si="10"/>
        <v xml:space="preserve"> </v>
      </c>
      <c r="K64" s="294" t="str">
        <f t="shared" si="5"/>
        <v xml:space="preserve"> </v>
      </c>
      <c r="L64" s="294">
        <f t="shared" si="6"/>
        <v>0</v>
      </c>
      <c r="M64" s="278">
        <f t="shared" si="7"/>
        <v>0</v>
      </c>
      <c r="N64" s="71">
        <f t="shared" si="8"/>
        <v>0</v>
      </c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153">
        <f t="shared" si="9"/>
        <v>0</v>
      </c>
      <c r="AT64" s="153"/>
      <c r="AU64" s="153"/>
      <c r="AV64" s="153"/>
      <c r="AW64" s="153"/>
      <c r="AX64" s="153"/>
      <c r="AY64" s="153"/>
      <c r="AZ64" s="153"/>
      <c r="BA64" s="153"/>
    </row>
    <row r="65" spans="1:53" outlineLevel="1">
      <c r="A65" s="44" t="str">
        <f>CONCATENATE(IF(C32='Программы финансирования'!$B$34,справочник!$A$60,IF(C32='Программы финансирования'!$B$35,справочник!$A$60,0))," ",IF(D32=справочник!$A$53,справочник!$A$53,0))</f>
        <v>0 0</v>
      </c>
      <c r="B65" s="76" t="str">
        <f t="shared" si="2"/>
        <v>Оборудование 10</v>
      </c>
      <c r="C65" s="77"/>
      <c r="D65" s="277">
        <f t="shared" si="3"/>
        <v>0</v>
      </c>
      <c r="E65" s="348" t="str">
        <f t="shared" si="4"/>
        <v>Оборудование 10</v>
      </c>
      <c r="F65" s="348"/>
      <c r="G65" s="348"/>
      <c r="H65" s="77"/>
      <c r="I65" s="171">
        <v>1</v>
      </c>
      <c r="J65" s="294" t="str">
        <f t="shared" si="10"/>
        <v xml:space="preserve"> </v>
      </c>
      <c r="K65" s="294" t="str">
        <f t="shared" si="5"/>
        <v xml:space="preserve"> </v>
      </c>
      <c r="L65" s="294">
        <f t="shared" si="6"/>
        <v>0</v>
      </c>
      <c r="M65" s="278">
        <f t="shared" si="7"/>
        <v>0</v>
      </c>
      <c r="N65" s="71">
        <f t="shared" si="8"/>
        <v>0</v>
      </c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153">
        <f t="shared" si="9"/>
        <v>0</v>
      </c>
      <c r="AT65" s="153"/>
      <c r="AU65" s="153"/>
      <c r="AV65" s="153"/>
      <c r="AW65" s="153"/>
      <c r="AX65" s="153"/>
      <c r="AY65" s="153"/>
      <c r="AZ65" s="153"/>
      <c r="BA65" s="153"/>
    </row>
    <row r="66" spans="1:53" outlineLevel="1">
      <c r="A66" s="44" t="str">
        <f>CONCATENATE(IF(C33='Программы финансирования'!$B$34,справочник!$A$60,IF(C33='Программы финансирования'!$B$35,справочник!$A$60,0))," ",IF(D33=справочник!$A$53,справочник!$A$53,0))</f>
        <v>0 0</v>
      </c>
      <c r="B66" s="76" t="str">
        <f t="shared" si="2"/>
        <v>Оборудование 11</v>
      </c>
      <c r="C66" s="77"/>
      <c r="D66" s="277">
        <f t="shared" si="3"/>
        <v>0</v>
      </c>
      <c r="E66" s="348" t="str">
        <f t="shared" si="4"/>
        <v>Оборудование 11</v>
      </c>
      <c r="F66" s="348"/>
      <c r="G66" s="348"/>
      <c r="H66" s="77"/>
      <c r="I66" s="171">
        <v>1</v>
      </c>
      <c r="J66" s="294" t="str">
        <f t="shared" si="10"/>
        <v xml:space="preserve"> </v>
      </c>
      <c r="K66" s="294" t="str">
        <f t="shared" si="5"/>
        <v xml:space="preserve"> </v>
      </c>
      <c r="L66" s="294">
        <f t="shared" si="6"/>
        <v>0</v>
      </c>
      <c r="M66" s="278">
        <f t="shared" si="7"/>
        <v>0</v>
      </c>
      <c r="N66" s="71">
        <f t="shared" si="8"/>
        <v>0</v>
      </c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153">
        <f t="shared" si="9"/>
        <v>0</v>
      </c>
      <c r="AT66" s="153"/>
      <c r="AU66" s="153"/>
      <c r="AV66" s="153"/>
      <c r="AW66" s="153"/>
      <c r="AX66" s="153"/>
      <c r="AY66" s="153"/>
      <c r="AZ66" s="153"/>
      <c r="BA66" s="153"/>
    </row>
    <row r="67" spans="1:53" outlineLevel="1">
      <c r="A67" s="44" t="str">
        <f>CONCATENATE(IF(C34='Программы финансирования'!$B$34,справочник!$A$60,IF(C34='Программы финансирования'!$B$35,справочник!$A$60,0))," ",IF(D34=справочник!$A$53,справочник!$A$53,0))</f>
        <v>0 0</v>
      </c>
      <c r="B67" s="76" t="str">
        <f t="shared" si="2"/>
        <v>Оборудование 12</v>
      </c>
      <c r="C67" s="77"/>
      <c r="D67" s="277">
        <f t="shared" si="3"/>
        <v>0</v>
      </c>
      <c r="E67" s="348" t="str">
        <f t="shared" si="4"/>
        <v>Оборудование 12</v>
      </c>
      <c r="F67" s="348"/>
      <c r="G67" s="348"/>
      <c r="H67" s="77"/>
      <c r="I67" s="171">
        <v>1</v>
      </c>
      <c r="J67" s="294" t="str">
        <f t="shared" si="10"/>
        <v xml:space="preserve"> </v>
      </c>
      <c r="K67" s="294" t="str">
        <f t="shared" si="5"/>
        <v xml:space="preserve"> </v>
      </c>
      <c r="L67" s="294">
        <f t="shared" si="6"/>
        <v>0</v>
      </c>
      <c r="M67" s="278">
        <f t="shared" si="7"/>
        <v>0</v>
      </c>
      <c r="N67" s="71">
        <f t="shared" si="8"/>
        <v>0</v>
      </c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153">
        <f t="shared" si="9"/>
        <v>0</v>
      </c>
      <c r="AT67" s="153"/>
      <c r="AU67" s="153"/>
      <c r="AV67" s="153"/>
      <c r="AW67" s="153"/>
      <c r="AX67" s="153"/>
      <c r="AY67" s="153"/>
      <c r="AZ67" s="153"/>
      <c r="BA67" s="153"/>
    </row>
    <row r="68" spans="1:53" outlineLevel="1">
      <c r="A68" s="44" t="str">
        <f>CONCATENATE(IF(C35='Программы финансирования'!$B$34,справочник!$A$60,IF(C35='Программы финансирования'!$B$35,справочник!$A$60,0))," ",IF(D35=справочник!$A$53,справочник!$A$53,0))</f>
        <v>0 0</v>
      </c>
      <c r="B68" s="76" t="str">
        <f t="shared" si="2"/>
        <v>Оборудование 13</v>
      </c>
      <c r="C68" s="77"/>
      <c r="D68" s="277">
        <f t="shared" si="3"/>
        <v>0</v>
      </c>
      <c r="E68" s="348" t="str">
        <f t="shared" si="4"/>
        <v>Оборудование 13</v>
      </c>
      <c r="F68" s="348"/>
      <c r="G68" s="348"/>
      <c r="H68" s="77"/>
      <c r="I68" s="171">
        <v>1</v>
      </c>
      <c r="J68" s="294" t="str">
        <f t="shared" si="10"/>
        <v xml:space="preserve"> </v>
      </c>
      <c r="K68" s="294" t="str">
        <f t="shared" si="5"/>
        <v xml:space="preserve"> </v>
      </c>
      <c r="L68" s="294">
        <f t="shared" si="6"/>
        <v>0</v>
      </c>
      <c r="M68" s="278">
        <f t="shared" si="7"/>
        <v>0</v>
      </c>
      <c r="N68" s="71">
        <f t="shared" si="8"/>
        <v>0</v>
      </c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153">
        <f t="shared" si="9"/>
        <v>0</v>
      </c>
      <c r="AT68" s="153"/>
      <c r="AU68" s="153"/>
      <c r="AV68" s="153"/>
      <c r="AW68" s="153"/>
      <c r="AX68" s="153"/>
      <c r="AY68" s="153"/>
      <c r="AZ68" s="153"/>
      <c r="BA68" s="153"/>
    </row>
    <row r="69" spans="1:53" outlineLevel="1">
      <c r="A69" s="44" t="str">
        <f>CONCATENATE(IF(C36='Программы финансирования'!$B$34,справочник!$A$60,IF(C36='Программы финансирования'!$B$35,справочник!$A$60,0))," ",IF(D36=справочник!$A$53,справочник!$A$53,0))</f>
        <v>0 0</v>
      </c>
      <c r="B69" s="76" t="str">
        <f t="shared" si="2"/>
        <v>Оборудование 14</v>
      </c>
      <c r="C69" s="77"/>
      <c r="D69" s="277">
        <f t="shared" si="3"/>
        <v>0</v>
      </c>
      <c r="E69" s="348" t="str">
        <f t="shared" si="4"/>
        <v>Оборудование 14</v>
      </c>
      <c r="F69" s="348"/>
      <c r="G69" s="348"/>
      <c r="H69" s="77"/>
      <c r="I69" s="171">
        <v>1</v>
      </c>
      <c r="J69" s="294" t="str">
        <f t="shared" si="10"/>
        <v xml:space="preserve"> </v>
      </c>
      <c r="K69" s="294" t="str">
        <f t="shared" si="5"/>
        <v xml:space="preserve"> </v>
      </c>
      <c r="L69" s="294">
        <f t="shared" si="6"/>
        <v>0</v>
      </c>
      <c r="M69" s="278">
        <f t="shared" si="7"/>
        <v>0</v>
      </c>
      <c r="N69" s="71">
        <f t="shared" si="8"/>
        <v>0</v>
      </c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153">
        <f t="shared" si="9"/>
        <v>0</v>
      </c>
      <c r="AT69" s="153"/>
      <c r="AU69" s="153"/>
      <c r="AV69" s="153"/>
      <c r="AW69" s="153"/>
      <c r="AX69" s="153"/>
      <c r="AY69" s="153"/>
      <c r="AZ69" s="153"/>
      <c r="BA69" s="153"/>
    </row>
    <row r="70" spans="1:53" outlineLevel="1">
      <c r="A70" s="44" t="str">
        <f>CONCATENATE(IF(C37='Программы финансирования'!$B$34,справочник!$A$60,IF(C37='Программы финансирования'!$B$35,справочник!$A$60,0))," ",IF(D37=справочник!$A$53,справочник!$A$53,0))</f>
        <v>0 0</v>
      </c>
      <c r="B70" s="76" t="str">
        <f t="shared" si="2"/>
        <v>Оборудование 15</v>
      </c>
      <c r="C70" s="77"/>
      <c r="D70" s="277">
        <f t="shared" si="3"/>
        <v>0</v>
      </c>
      <c r="E70" s="348" t="str">
        <f t="shared" si="4"/>
        <v>Оборудование 15</v>
      </c>
      <c r="F70" s="348"/>
      <c r="G70" s="348"/>
      <c r="H70" s="77"/>
      <c r="I70" s="171">
        <v>1</v>
      </c>
      <c r="J70" s="294" t="str">
        <f t="shared" si="10"/>
        <v xml:space="preserve"> </v>
      </c>
      <c r="K70" s="294" t="str">
        <f t="shared" si="5"/>
        <v xml:space="preserve"> </v>
      </c>
      <c r="L70" s="294">
        <f t="shared" si="6"/>
        <v>0</v>
      </c>
      <c r="M70" s="278">
        <f t="shared" si="7"/>
        <v>0</v>
      </c>
      <c r="N70" s="71">
        <f t="shared" si="8"/>
        <v>0</v>
      </c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153">
        <f t="shared" si="9"/>
        <v>0</v>
      </c>
      <c r="AT70" s="153"/>
      <c r="AU70" s="153"/>
      <c r="AV70" s="153"/>
      <c r="AW70" s="153"/>
      <c r="AX70" s="153"/>
      <c r="AY70" s="153"/>
      <c r="AZ70" s="153"/>
      <c r="BA70" s="153"/>
    </row>
    <row r="71" spans="1:53" outlineLevel="1">
      <c r="A71" s="44" t="str">
        <f>CONCATENATE(IF(C38='Программы финансирования'!$B$34,справочник!$A$60,IF(C38='Программы финансирования'!$B$35,справочник!$A$60,0))," ",IF(D38=справочник!$A$53,справочник!$A$53,0))</f>
        <v>0 0</v>
      </c>
      <c r="B71" s="76" t="str">
        <f t="shared" si="2"/>
        <v>Оборудование 16</v>
      </c>
      <c r="C71" s="77"/>
      <c r="D71" s="277">
        <f t="shared" si="3"/>
        <v>0</v>
      </c>
      <c r="E71" s="348" t="str">
        <f t="shared" si="4"/>
        <v>Оборудование 16</v>
      </c>
      <c r="F71" s="348"/>
      <c r="G71" s="348"/>
      <c r="H71" s="77"/>
      <c r="I71" s="171">
        <v>1</v>
      </c>
      <c r="J71" s="294" t="str">
        <f t="shared" si="10"/>
        <v xml:space="preserve"> </v>
      </c>
      <c r="K71" s="294" t="str">
        <f t="shared" si="5"/>
        <v xml:space="preserve"> </v>
      </c>
      <c r="L71" s="294">
        <f t="shared" si="6"/>
        <v>0</v>
      </c>
      <c r="M71" s="278">
        <f t="shared" si="7"/>
        <v>0</v>
      </c>
      <c r="N71" s="71">
        <f t="shared" si="8"/>
        <v>0</v>
      </c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153">
        <f t="shared" si="9"/>
        <v>0</v>
      </c>
      <c r="AT71" s="153"/>
      <c r="AU71" s="153"/>
      <c r="AV71" s="153"/>
      <c r="AW71" s="153"/>
      <c r="AX71" s="153"/>
      <c r="AY71" s="153"/>
      <c r="AZ71" s="153"/>
      <c r="BA71" s="153"/>
    </row>
    <row r="72" spans="1:53" outlineLevel="1">
      <c r="A72" s="44" t="str">
        <f>CONCATENATE(IF(C39='Программы финансирования'!$B$34,справочник!$A$60,IF(C39='Программы финансирования'!$B$35,справочник!$A$60,0))," ",IF(D39=справочник!$A$53,справочник!$A$53,0))</f>
        <v>0 0</v>
      </c>
      <c r="B72" s="76" t="str">
        <f t="shared" si="2"/>
        <v>Оборудование 17</v>
      </c>
      <c r="C72" s="77"/>
      <c r="D72" s="277">
        <f t="shared" si="3"/>
        <v>0</v>
      </c>
      <c r="E72" s="348" t="str">
        <f t="shared" si="4"/>
        <v>Оборудование 17</v>
      </c>
      <c r="F72" s="348"/>
      <c r="G72" s="348"/>
      <c r="H72" s="77"/>
      <c r="I72" s="171">
        <v>1</v>
      </c>
      <c r="J72" s="294" t="str">
        <f t="shared" si="10"/>
        <v xml:space="preserve"> </v>
      </c>
      <c r="K72" s="294" t="str">
        <f t="shared" si="5"/>
        <v xml:space="preserve"> </v>
      </c>
      <c r="L72" s="294">
        <f t="shared" si="6"/>
        <v>0</v>
      </c>
      <c r="M72" s="278">
        <f t="shared" si="7"/>
        <v>0</v>
      </c>
      <c r="N72" s="71">
        <f t="shared" si="8"/>
        <v>0</v>
      </c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153">
        <f t="shared" si="9"/>
        <v>0</v>
      </c>
      <c r="AT72" s="153"/>
      <c r="AU72" s="153"/>
      <c r="AV72" s="153"/>
      <c r="AW72" s="153"/>
      <c r="AX72" s="153"/>
      <c r="AY72" s="153"/>
      <c r="AZ72" s="153"/>
      <c r="BA72" s="153"/>
    </row>
    <row r="73" spans="1:53" outlineLevel="1">
      <c r="A73" s="44" t="str">
        <f>CONCATENATE(IF(C40='Программы финансирования'!$B$34,справочник!$A$60,IF(C40='Программы финансирования'!$B$35,справочник!$A$60,0))," ",IF(D40=справочник!$A$53,справочник!$A$53,0))</f>
        <v>0 0</v>
      </c>
      <c r="B73" s="76" t="str">
        <f t="shared" si="2"/>
        <v>Оборудование 18</v>
      </c>
      <c r="C73" s="77"/>
      <c r="D73" s="277">
        <f t="shared" si="3"/>
        <v>0</v>
      </c>
      <c r="E73" s="348" t="str">
        <f t="shared" si="4"/>
        <v>Оборудование 18</v>
      </c>
      <c r="F73" s="348"/>
      <c r="G73" s="348"/>
      <c r="H73" s="77"/>
      <c r="I73" s="171">
        <v>1</v>
      </c>
      <c r="J73" s="294" t="str">
        <f t="shared" si="10"/>
        <v xml:space="preserve"> </v>
      </c>
      <c r="K73" s="294" t="str">
        <f t="shared" si="5"/>
        <v xml:space="preserve"> </v>
      </c>
      <c r="L73" s="294">
        <f t="shared" si="6"/>
        <v>0</v>
      </c>
      <c r="M73" s="278">
        <f t="shared" si="7"/>
        <v>0</v>
      </c>
      <c r="N73" s="71">
        <f t="shared" si="8"/>
        <v>0</v>
      </c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153">
        <f t="shared" si="9"/>
        <v>0</v>
      </c>
      <c r="AT73" s="153"/>
      <c r="AU73" s="153"/>
      <c r="AV73" s="153"/>
      <c r="AW73" s="153"/>
      <c r="AX73" s="153"/>
      <c r="AY73" s="153"/>
      <c r="AZ73" s="153"/>
      <c r="BA73" s="153"/>
    </row>
    <row r="74" spans="1:53" outlineLevel="1">
      <c r="A74" s="44" t="str">
        <f>CONCATENATE(IF(C41='Программы финансирования'!$B$34,справочник!$A$60,IF(C41='Программы финансирования'!$B$35,справочник!$A$60,0))," ",IF(D41=справочник!$A$53,справочник!$A$53,0))</f>
        <v>0 0</v>
      </c>
      <c r="B74" s="76" t="str">
        <f t="shared" si="2"/>
        <v>Оборудование 19</v>
      </c>
      <c r="C74" s="77"/>
      <c r="D74" s="277">
        <f t="shared" si="3"/>
        <v>0</v>
      </c>
      <c r="E74" s="348" t="str">
        <f t="shared" si="4"/>
        <v>Оборудование 19</v>
      </c>
      <c r="F74" s="348"/>
      <c r="G74" s="348"/>
      <c r="H74" s="77"/>
      <c r="I74" s="171">
        <v>1</v>
      </c>
      <c r="J74" s="294" t="str">
        <f t="shared" si="10"/>
        <v xml:space="preserve"> </v>
      </c>
      <c r="K74" s="294" t="str">
        <f t="shared" si="5"/>
        <v xml:space="preserve"> </v>
      </c>
      <c r="L74" s="294">
        <f t="shared" si="6"/>
        <v>0</v>
      </c>
      <c r="M74" s="278">
        <f t="shared" si="7"/>
        <v>0</v>
      </c>
      <c r="N74" s="71">
        <f t="shared" si="8"/>
        <v>0</v>
      </c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153">
        <f t="shared" si="9"/>
        <v>0</v>
      </c>
      <c r="AT74" s="153"/>
      <c r="AU74" s="153"/>
      <c r="AV74" s="153"/>
      <c r="AW74" s="153"/>
      <c r="AX74" s="153"/>
      <c r="AY74" s="153"/>
      <c r="AZ74" s="153"/>
      <c r="BA74" s="153"/>
    </row>
    <row r="75" spans="1:53" outlineLevel="1">
      <c r="A75" s="44" t="str">
        <f>CONCATENATE(IF(C42='Программы финансирования'!$B$34,справочник!$A$60,IF(C42='Программы финансирования'!$B$35,справочник!$A$60,0))," ",IF(D42=справочник!$A$53,справочник!$A$53,0))</f>
        <v>0 0</v>
      </c>
      <c r="B75" s="76" t="str">
        <f t="shared" si="2"/>
        <v>Оборудование 20</v>
      </c>
      <c r="C75" s="77"/>
      <c r="D75" s="277">
        <f t="shared" si="3"/>
        <v>0</v>
      </c>
      <c r="E75" s="348" t="str">
        <f t="shared" si="4"/>
        <v>Оборудование 20</v>
      </c>
      <c r="F75" s="348"/>
      <c r="G75" s="348"/>
      <c r="H75" s="77"/>
      <c r="I75" s="171">
        <v>1</v>
      </c>
      <c r="J75" s="294" t="str">
        <f t="shared" si="10"/>
        <v xml:space="preserve"> </v>
      </c>
      <c r="K75" s="294" t="str">
        <f t="shared" si="5"/>
        <v xml:space="preserve"> </v>
      </c>
      <c r="L75" s="294">
        <f t="shared" si="6"/>
        <v>0</v>
      </c>
      <c r="M75" s="278">
        <f t="shared" si="7"/>
        <v>0</v>
      </c>
      <c r="N75" s="71">
        <f t="shared" si="8"/>
        <v>0</v>
      </c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153">
        <f t="shared" si="9"/>
        <v>0</v>
      </c>
      <c r="AT75" s="153"/>
      <c r="AU75" s="153"/>
      <c r="AV75" s="153"/>
      <c r="AW75" s="153"/>
      <c r="AX75" s="153"/>
      <c r="AY75" s="153"/>
      <c r="AZ75" s="153"/>
      <c r="BA75" s="153"/>
    </row>
    <row r="76" spans="1:53">
      <c r="A76" s="44"/>
      <c r="B76" s="76" t="str">
        <f>B46</f>
        <v>Прочие Наименование</v>
      </c>
      <c r="C76" s="77"/>
      <c r="D76" s="277" t="str">
        <f>C46</f>
        <v>Закупка сырья и материалов</v>
      </c>
      <c r="E76" s="348" t="str">
        <f t="shared" ref="E76:E78" si="11">B76</f>
        <v>Прочие Наименование</v>
      </c>
      <c r="F76" s="348"/>
      <c r="G76" s="348"/>
      <c r="H76" s="77">
        <v>4391.8320000000003</v>
      </c>
      <c r="I76" s="171">
        <v>1</v>
      </c>
      <c r="J76" s="294">
        <f t="shared" si="10"/>
        <v>4391.8320000000003</v>
      </c>
      <c r="K76" s="294">
        <f t="shared" si="5"/>
        <v>0</v>
      </c>
      <c r="L76" s="294">
        <f t="shared" si="6"/>
        <v>4391.8320000000003</v>
      </c>
      <c r="M76" s="278">
        <f>ROUND(H76/(1+E46),2)</f>
        <v>3599.86</v>
      </c>
      <c r="N76" s="71">
        <f t="shared" ref="N76:N78" si="12">SUM(O76:AR76)</f>
        <v>1</v>
      </c>
      <c r="O76" s="67"/>
      <c r="P76" s="67"/>
      <c r="Q76" s="67">
        <v>0.9</v>
      </c>
      <c r="R76" s="67">
        <v>0.1</v>
      </c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153" t="b">
        <f t="shared" si="9"/>
        <v>1</v>
      </c>
      <c r="AT76" s="153"/>
      <c r="AU76" s="153"/>
      <c r="AV76" s="153"/>
      <c r="AW76" s="153"/>
      <c r="AX76" s="153"/>
      <c r="AY76" s="153"/>
      <c r="AZ76" s="153"/>
      <c r="BA76" s="153"/>
    </row>
    <row r="77" spans="1:53">
      <c r="A77" s="44"/>
      <c r="B77" s="76" t="str">
        <f>IF(B47=0,"-",B47)</f>
        <v>ФОТ</v>
      </c>
      <c r="C77" s="77"/>
      <c r="D77" s="277" t="str">
        <f>C47</f>
        <v>Общехозяйственные</v>
      </c>
      <c r="E77" s="348" t="str">
        <f t="shared" ref="E77" si="13">B77</f>
        <v>ФОТ</v>
      </c>
      <c r="F77" s="348"/>
      <c r="G77" s="348"/>
      <c r="H77" s="77"/>
      <c r="I77" s="171">
        <v>1</v>
      </c>
      <c r="J77" s="294" t="str">
        <f t="shared" si="10"/>
        <v xml:space="preserve"> </v>
      </c>
      <c r="K77" s="294" t="str">
        <f t="shared" ref="K77:K78" si="14">IF(H77=0," ",H77-J77)</f>
        <v xml:space="preserve"> </v>
      </c>
      <c r="L77" s="294">
        <f t="shared" si="6"/>
        <v>0</v>
      </c>
      <c r="M77" s="278">
        <f t="shared" ref="M77:M78" si="15">ROUND(H77/(1+E47),2)</f>
        <v>0</v>
      </c>
      <c r="N77" s="71">
        <f t="shared" si="12"/>
        <v>0</v>
      </c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153">
        <f t="shared" si="9"/>
        <v>0</v>
      </c>
      <c r="AT77" s="153"/>
      <c r="AU77" s="153"/>
      <c r="AV77" s="153"/>
      <c r="AW77" s="153"/>
      <c r="AX77" s="153"/>
      <c r="AY77" s="153"/>
      <c r="AZ77" s="153"/>
      <c r="BA77" s="153"/>
    </row>
    <row r="78" spans="1:53" outlineLevel="1">
      <c r="A78" s="44"/>
      <c r="B78" s="76" t="str">
        <f>IF(B48=0,"-",B48)</f>
        <v>Общие нужды</v>
      </c>
      <c r="C78" s="77"/>
      <c r="D78" s="277" t="str">
        <f>C48</f>
        <v>Общехозяйственные</v>
      </c>
      <c r="E78" s="348" t="str">
        <f t="shared" si="11"/>
        <v>Общие нужды</v>
      </c>
      <c r="F78" s="348"/>
      <c r="G78" s="348"/>
      <c r="H78" s="77"/>
      <c r="I78" s="171">
        <v>1</v>
      </c>
      <c r="J78" s="294" t="str">
        <f t="shared" si="10"/>
        <v xml:space="preserve"> </v>
      </c>
      <c r="K78" s="294" t="str">
        <f t="shared" si="14"/>
        <v xml:space="preserve"> </v>
      </c>
      <c r="L78" s="294">
        <f t="shared" si="6"/>
        <v>0</v>
      </c>
      <c r="M78" s="278">
        <f t="shared" si="15"/>
        <v>0</v>
      </c>
      <c r="N78" s="71">
        <f t="shared" si="12"/>
        <v>0</v>
      </c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153">
        <f t="shared" si="9"/>
        <v>0</v>
      </c>
      <c r="AT78" s="153"/>
      <c r="AU78" s="153"/>
      <c r="AV78" s="153"/>
      <c r="AW78" s="153"/>
      <c r="AX78" s="153"/>
      <c r="AY78" s="153"/>
      <c r="AZ78" s="153"/>
      <c r="BA78" s="153"/>
    </row>
    <row r="79" spans="1:53" ht="30">
      <c r="A79" s="286"/>
      <c r="B79" s="288"/>
      <c r="C79" s="288"/>
      <c r="D79" s="288"/>
      <c r="E79" s="288"/>
      <c r="F79" s="288"/>
      <c r="G79" s="288"/>
      <c r="H79" s="288"/>
      <c r="I79" s="288"/>
      <c r="J79" s="288"/>
      <c r="K79" s="288"/>
      <c r="L79" s="288"/>
      <c r="M79" s="288"/>
      <c r="N79" s="189" t="s">
        <v>385</v>
      </c>
      <c r="O79" s="190">
        <f>ROUND(SUMPRODUCT($H$56:$H$78,O56:O78),2)</f>
        <v>9854.82</v>
      </c>
      <c r="P79" s="190">
        <f t="shared" ref="P79:AR79" si="16">ROUND(SUMPRODUCT($H$56:$H$78,P56:P78),2)</f>
        <v>13963.43</v>
      </c>
      <c r="Q79" s="190">
        <f t="shared" si="16"/>
        <v>5742.57</v>
      </c>
      <c r="R79" s="190">
        <f t="shared" si="16"/>
        <v>439.18</v>
      </c>
      <c r="S79" s="190">
        <f t="shared" si="16"/>
        <v>0</v>
      </c>
      <c r="T79" s="190">
        <f t="shared" si="16"/>
        <v>0</v>
      </c>
      <c r="U79" s="190">
        <f t="shared" si="16"/>
        <v>0</v>
      </c>
      <c r="V79" s="190">
        <f t="shared" si="16"/>
        <v>0</v>
      </c>
      <c r="W79" s="190">
        <f t="shared" si="16"/>
        <v>0</v>
      </c>
      <c r="X79" s="190">
        <f t="shared" si="16"/>
        <v>0</v>
      </c>
      <c r="Y79" s="190">
        <f t="shared" si="16"/>
        <v>0</v>
      </c>
      <c r="Z79" s="190">
        <f t="shared" si="16"/>
        <v>0</v>
      </c>
      <c r="AA79" s="190">
        <f t="shared" si="16"/>
        <v>0</v>
      </c>
      <c r="AB79" s="190">
        <f t="shared" si="16"/>
        <v>0</v>
      </c>
      <c r="AC79" s="190">
        <f t="shared" si="16"/>
        <v>0</v>
      </c>
      <c r="AD79" s="190">
        <f t="shared" si="16"/>
        <v>0</v>
      </c>
      <c r="AE79" s="190">
        <f t="shared" si="16"/>
        <v>0</v>
      </c>
      <c r="AF79" s="190">
        <f t="shared" si="16"/>
        <v>0</v>
      </c>
      <c r="AG79" s="190">
        <f t="shared" si="16"/>
        <v>0</v>
      </c>
      <c r="AH79" s="190">
        <f t="shared" si="16"/>
        <v>0</v>
      </c>
      <c r="AI79" s="190">
        <f t="shared" si="16"/>
        <v>0</v>
      </c>
      <c r="AJ79" s="190">
        <f t="shared" si="16"/>
        <v>0</v>
      </c>
      <c r="AK79" s="190">
        <f t="shared" si="16"/>
        <v>0</v>
      </c>
      <c r="AL79" s="190">
        <f t="shared" si="16"/>
        <v>0</v>
      </c>
      <c r="AM79" s="190">
        <f t="shared" si="16"/>
        <v>0</v>
      </c>
      <c r="AN79" s="190">
        <f t="shared" si="16"/>
        <v>0</v>
      </c>
      <c r="AO79" s="190">
        <f t="shared" si="16"/>
        <v>0</v>
      </c>
      <c r="AP79" s="190">
        <f t="shared" si="16"/>
        <v>0</v>
      </c>
      <c r="AQ79" s="190">
        <f t="shared" si="16"/>
        <v>0</v>
      </c>
      <c r="AR79" s="190">
        <f t="shared" si="16"/>
        <v>0</v>
      </c>
      <c r="AS79" s="153"/>
      <c r="AT79" s="153"/>
      <c r="AU79" s="153"/>
      <c r="AV79" s="153"/>
      <c r="AW79" s="153"/>
      <c r="AX79" s="153"/>
      <c r="AY79" s="153"/>
      <c r="AZ79" s="153"/>
      <c r="BA79" s="153"/>
    </row>
    <row r="80" spans="1:53" ht="30">
      <c r="A80" s="286"/>
      <c r="B80" s="288"/>
      <c r="C80" s="288"/>
      <c r="D80" s="288"/>
      <c r="E80" s="288"/>
      <c r="F80" s="288"/>
      <c r="G80" s="288"/>
      <c r="H80" s="288"/>
      <c r="I80" s="288"/>
      <c r="J80" s="288"/>
      <c r="K80" s="288"/>
      <c r="L80" s="288"/>
      <c r="M80" s="288"/>
      <c r="N80" s="189" t="s">
        <v>386</v>
      </c>
      <c r="O80" s="190">
        <f>IF($H$16=справочник!$A$16,ROUND(SUMPRODUCT($M$56:$M$78,O56:O78),2),O79)</f>
        <v>8077.72</v>
      </c>
      <c r="P80" s="190">
        <f>IF($H$16=справочник!$A$16,ROUND(SUMPRODUCT($M$56:$M$78,P56:P78),2),P79)</f>
        <v>11445.43</v>
      </c>
      <c r="Q80" s="190">
        <f>IF($H$16=справочник!$A$16,ROUND(SUMPRODUCT($M$56:$M$78,Q56:Q78),2),Q79)</f>
        <v>4707.0200000000004</v>
      </c>
      <c r="R80" s="190">
        <f>IF($H$16=справочник!$A$16,ROUND(SUMPRODUCT($M$56:$M$78,R56:R78),2),R79)</f>
        <v>359.99</v>
      </c>
      <c r="S80" s="190">
        <f>IF($H$16=справочник!$A$16,ROUND(SUMPRODUCT($M$56:$M$78,S56:S78),2),S79)</f>
        <v>0</v>
      </c>
      <c r="T80" s="190">
        <f>IF($H$16=справочник!$A$16,ROUND(SUMPRODUCT($M$56:$M$78,T56:T78),2),T79)</f>
        <v>0</v>
      </c>
      <c r="U80" s="190">
        <f>IF($H$16=справочник!$A$16,ROUND(SUMPRODUCT($M$56:$M$78,U56:U78),2),U79)</f>
        <v>0</v>
      </c>
      <c r="V80" s="190">
        <f>IF($H$16=справочник!$A$16,ROUND(SUMPRODUCT($M$56:$M$78,V56:V78),2),V79)</f>
        <v>0</v>
      </c>
      <c r="W80" s="190">
        <f>IF($H$16=справочник!$A$16,ROUND(SUMPRODUCT($M$56:$M$78,W56:W78),2),W79)</f>
        <v>0</v>
      </c>
      <c r="X80" s="190">
        <f>IF($H$16=справочник!$A$16,ROUND(SUMPRODUCT($M$56:$M$78,X56:X78),2),X79)</f>
        <v>0</v>
      </c>
      <c r="Y80" s="190">
        <f>IF($H$16=справочник!$A$16,ROUND(SUMPRODUCT($M$56:$M$78,Y56:Y78),2),Y79)</f>
        <v>0</v>
      </c>
      <c r="Z80" s="190">
        <f>IF($H$16=справочник!$A$16,ROUND(SUMPRODUCT($M$56:$M$78,Z56:Z78),2),Z79)</f>
        <v>0</v>
      </c>
      <c r="AA80" s="190">
        <f>IF($H$16=справочник!$A$16,ROUND(SUMPRODUCT($M$56:$M$78,AA56:AA78),2),AA79)</f>
        <v>0</v>
      </c>
      <c r="AB80" s="190">
        <f>IF($H$16=справочник!$A$16,ROUND(SUMPRODUCT($M$56:$M$78,AB56:AB78),2),AB79)</f>
        <v>0</v>
      </c>
      <c r="AC80" s="190">
        <f>IF($H$16=справочник!$A$16,ROUND(SUMPRODUCT($M$56:$M$78,AC56:AC78),2),AC79)</f>
        <v>0</v>
      </c>
      <c r="AD80" s="190">
        <f>IF($H$16=справочник!$A$16,ROUND(SUMPRODUCT($M$56:$M$78,AD56:AD78),2),AD79)</f>
        <v>0</v>
      </c>
      <c r="AE80" s="190">
        <f>IF($H$16=справочник!$A$16,ROUND(SUMPRODUCT($M$56:$M$78,AE56:AE78),2),AE79)</f>
        <v>0</v>
      </c>
      <c r="AF80" s="190">
        <f>IF($H$16=справочник!$A$16,ROUND(SUMPRODUCT($M$56:$M$78,AF56:AF78),2),AF79)</f>
        <v>0</v>
      </c>
      <c r="AG80" s="190">
        <f>IF($H$16=справочник!$A$16,ROUND(SUMPRODUCT($M$56:$M$78,AG56:AG78),2),AG79)</f>
        <v>0</v>
      </c>
      <c r="AH80" s="190">
        <f>IF($H$16=справочник!$A$16,ROUND(SUMPRODUCT($M$56:$M$78,AH56:AH78),2),AH79)</f>
        <v>0</v>
      </c>
      <c r="AI80" s="190">
        <f>IF($H$16=справочник!$A$16,ROUND(SUMPRODUCT($M$56:$M$78,AI56:AI78),2),AI79)</f>
        <v>0</v>
      </c>
      <c r="AJ80" s="190">
        <f>IF($H$16=справочник!$A$16,ROUND(SUMPRODUCT($M$56:$M$78,AJ56:AJ78),2),AJ79)</f>
        <v>0</v>
      </c>
      <c r="AK80" s="190">
        <f>IF($H$16=справочник!$A$16,ROUND(SUMPRODUCT($M$56:$M$78,AK56:AK78),2),AK79)</f>
        <v>0</v>
      </c>
      <c r="AL80" s="190">
        <f>IF($H$16=справочник!$A$16,ROUND(SUMPRODUCT($M$56:$M$78,AL56:AL78),2),AL79)</f>
        <v>0</v>
      </c>
      <c r="AM80" s="190">
        <f>IF($H$16=справочник!$A$16,ROUND(SUMPRODUCT($M$56:$M$78,AM56:AM78),2),AM79)</f>
        <v>0</v>
      </c>
      <c r="AN80" s="190">
        <f>IF($H$16=справочник!$A$16,ROUND(SUMPRODUCT($M$56:$M$78,AN56:AN78),2),AN79)</f>
        <v>0</v>
      </c>
      <c r="AO80" s="190">
        <f>IF($H$16=справочник!$A$16,ROUND(SUMPRODUCT($M$56:$M$78,AO56:AO78),2),AO79)</f>
        <v>0</v>
      </c>
      <c r="AP80" s="190">
        <f>IF($H$16=справочник!$A$16,ROUND(SUMPRODUCT($M$56:$M$78,AP56:AP78),2),AP79)</f>
        <v>0</v>
      </c>
      <c r="AQ80" s="190">
        <f>IF($H$16=справочник!$A$16,ROUND(SUMPRODUCT($M$56:$M$78,AQ56:AQ78),2),AQ79)</f>
        <v>0</v>
      </c>
      <c r="AR80" s="190">
        <f>IF($H$16=справочник!$A$16,ROUND(SUMPRODUCT($M$56:$M$78,AR56:AR78),2),AR79)</f>
        <v>0</v>
      </c>
      <c r="AS80" s="153"/>
      <c r="AT80" s="153"/>
      <c r="AU80" s="153"/>
      <c r="AV80" s="153"/>
      <c r="AW80" s="153"/>
      <c r="AX80" s="153"/>
      <c r="AY80" s="153"/>
      <c r="AZ80" s="153"/>
      <c r="BA80" s="153"/>
    </row>
    <row r="81" spans="1:53">
      <c r="A81" s="286"/>
      <c r="B81" s="286"/>
      <c r="C81" s="286"/>
      <c r="D81" s="286"/>
      <c r="E81" s="286"/>
      <c r="F81" s="286"/>
      <c r="G81" s="286"/>
      <c r="H81" s="286"/>
      <c r="I81" s="286"/>
      <c r="J81" s="286"/>
      <c r="K81" s="286"/>
      <c r="L81" s="286"/>
      <c r="M81" s="286"/>
      <c r="N81" s="189" t="s">
        <v>387</v>
      </c>
      <c r="O81" s="191">
        <f>O79-O80</f>
        <v>1777.0999999999995</v>
      </c>
      <c r="P81" s="191">
        <f t="shared" ref="P81:AR81" si="17">P79-P80</f>
        <v>2518</v>
      </c>
      <c r="Q81" s="191">
        <f t="shared" si="17"/>
        <v>1035.5499999999993</v>
      </c>
      <c r="R81" s="191">
        <f t="shared" si="17"/>
        <v>79.19</v>
      </c>
      <c r="S81" s="191">
        <f t="shared" si="17"/>
        <v>0</v>
      </c>
      <c r="T81" s="191">
        <f t="shared" si="17"/>
        <v>0</v>
      </c>
      <c r="U81" s="191">
        <f t="shared" si="17"/>
        <v>0</v>
      </c>
      <c r="V81" s="191">
        <f t="shared" si="17"/>
        <v>0</v>
      </c>
      <c r="W81" s="191">
        <f t="shared" si="17"/>
        <v>0</v>
      </c>
      <c r="X81" s="191">
        <f t="shared" si="17"/>
        <v>0</v>
      </c>
      <c r="Y81" s="191">
        <f t="shared" si="17"/>
        <v>0</v>
      </c>
      <c r="Z81" s="191">
        <f t="shared" si="17"/>
        <v>0</v>
      </c>
      <c r="AA81" s="191">
        <f t="shared" si="17"/>
        <v>0</v>
      </c>
      <c r="AB81" s="191">
        <f t="shared" si="17"/>
        <v>0</v>
      </c>
      <c r="AC81" s="191">
        <f t="shared" si="17"/>
        <v>0</v>
      </c>
      <c r="AD81" s="191">
        <f t="shared" si="17"/>
        <v>0</v>
      </c>
      <c r="AE81" s="191">
        <f t="shared" si="17"/>
        <v>0</v>
      </c>
      <c r="AF81" s="191">
        <f t="shared" si="17"/>
        <v>0</v>
      </c>
      <c r="AG81" s="191">
        <f t="shared" si="17"/>
        <v>0</v>
      </c>
      <c r="AH81" s="191">
        <f t="shared" si="17"/>
        <v>0</v>
      </c>
      <c r="AI81" s="191">
        <f t="shared" si="17"/>
        <v>0</v>
      </c>
      <c r="AJ81" s="191">
        <f t="shared" si="17"/>
        <v>0</v>
      </c>
      <c r="AK81" s="191">
        <f t="shared" si="17"/>
        <v>0</v>
      </c>
      <c r="AL81" s="191">
        <f t="shared" si="17"/>
        <v>0</v>
      </c>
      <c r="AM81" s="191">
        <f t="shared" si="17"/>
        <v>0</v>
      </c>
      <c r="AN81" s="191">
        <f t="shared" si="17"/>
        <v>0</v>
      </c>
      <c r="AO81" s="191">
        <f t="shared" si="17"/>
        <v>0</v>
      </c>
      <c r="AP81" s="191">
        <f t="shared" si="17"/>
        <v>0</v>
      </c>
      <c r="AQ81" s="191">
        <f t="shared" si="17"/>
        <v>0</v>
      </c>
      <c r="AR81" s="191">
        <f t="shared" si="17"/>
        <v>0</v>
      </c>
      <c r="AS81" s="153"/>
      <c r="AT81" s="153"/>
      <c r="AU81" s="153"/>
      <c r="AV81" s="153"/>
      <c r="AW81" s="153"/>
      <c r="AX81" s="153"/>
      <c r="AY81" s="153"/>
      <c r="AZ81" s="153"/>
      <c r="BA81" s="153"/>
    </row>
    <row r="82" spans="1:53" ht="15.75">
      <c r="A82" s="286"/>
      <c r="B82" s="62" t="s">
        <v>342</v>
      </c>
      <c r="C82" s="286"/>
      <c r="D82" s="286"/>
      <c r="E82" s="286"/>
      <c r="F82" s="286"/>
      <c r="G82" s="286"/>
      <c r="H82" s="286"/>
      <c r="I82" s="286"/>
      <c r="J82" s="286"/>
      <c r="K82" s="286"/>
      <c r="L82" s="286"/>
      <c r="M82" s="286"/>
      <c r="AS82" s="153"/>
      <c r="AT82" s="153"/>
      <c r="AU82" s="153"/>
      <c r="AV82" s="153"/>
      <c r="AW82" s="153"/>
      <c r="AX82" s="153"/>
      <c r="AY82" s="153"/>
      <c r="AZ82" s="153"/>
      <c r="BA82" s="153"/>
    </row>
    <row r="83" spans="1:53">
      <c r="B83" s="347" t="s">
        <v>320</v>
      </c>
      <c r="C83" s="358" t="s">
        <v>336</v>
      </c>
      <c r="D83" s="358" t="s">
        <v>337</v>
      </c>
      <c r="E83" s="358"/>
      <c r="F83" s="358" t="s">
        <v>338</v>
      </c>
      <c r="G83" s="358" t="s">
        <v>359</v>
      </c>
    </row>
    <row r="84" spans="1:53">
      <c r="B84" s="347"/>
      <c r="C84" s="358"/>
      <c r="D84" s="172" t="s">
        <v>340</v>
      </c>
      <c r="E84" s="172" t="s">
        <v>341</v>
      </c>
      <c r="F84" s="358"/>
      <c r="G84" s="358" t="s">
        <v>352</v>
      </c>
    </row>
    <row r="85" spans="1:53">
      <c r="B85" s="165" t="s">
        <v>351</v>
      </c>
      <c r="C85" s="102">
        <f t="shared" ref="C85:C92" si="18">SUMIF($D$56:$D$78,B85,$C$56:$C$78)</f>
        <v>17072.773000000001</v>
      </c>
      <c r="D85" s="102">
        <f t="shared" ref="D85:D92" si="19">SUMIF($D$56:$D$78,B85,$K$56:$K$78)</f>
        <v>0</v>
      </c>
      <c r="E85" s="102">
        <f t="shared" ref="E85:E92" si="20">SUMIF($D$56:$D$78,B85,$J$56:$J$78)</f>
        <v>0</v>
      </c>
      <c r="F85" s="102">
        <f>SUM(C85:E85)</f>
        <v>17072.773000000001</v>
      </c>
      <c r="G85" s="174"/>
    </row>
    <row r="86" spans="1:53">
      <c r="B86" s="165" t="s">
        <v>323</v>
      </c>
      <c r="C86" s="102">
        <f t="shared" si="18"/>
        <v>0</v>
      </c>
      <c r="D86" s="102">
        <f t="shared" si="19"/>
        <v>0</v>
      </c>
      <c r="E86" s="102">
        <f t="shared" si="20"/>
        <v>20914.528000000002</v>
      </c>
      <c r="F86" s="102">
        <f t="shared" ref="F86:F92" si="21">SUM(C86:E86)</f>
        <v>20914.528000000002</v>
      </c>
      <c r="G86" s="174">
        <f t="shared" ref="G86:G93" si="22">IF($E$93=0,0,E86/$E$93)</f>
        <v>0.69715093333333344</v>
      </c>
    </row>
    <row r="87" spans="1:53" ht="30">
      <c r="B87" s="165" t="s">
        <v>324</v>
      </c>
      <c r="C87" s="102">
        <f t="shared" si="18"/>
        <v>0</v>
      </c>
      <c r="D87" s="102">
        <f t="shared" si="19"/>
        <v>0</v>
      </c>
      <c r="E87" s="102">
        <f t="shared" si="20"/>
        <v>4693.6400000000003</v>
      </c>
      <c r="F87" s="102">
        <f t="shared" si="21"/>
        <v>4693.6400000000003</v>
      </c>
      <c r="G87" s="174">
        <f t="shared" si="22"/>
        <v>0.15645466666666669</v>
      </c>
    </row>
    <row r="88" spans="1:53">
      <c r="B88" s="165" t="s">
        <v>325</v>
      </c>
      <c r="C88" s="102">
        <f t="shared" si="18"/>
        <v>0</v>
      </c>
      <c r="D88" s="102">
        <f t="shared" si="19"/>
        <v>0</v>
      </c>
      <c r="E88" s="102">
        <f t="shared" si="20"/>
        <v>0</v>
      </c>
      <c r="F88" s="102">
        <f t="shared" si="21"/>
        <v>0</v>
      </c>
      <c r="G88" s="174">
        <f t="shared" si="22"/>
        <v>0</v>
      </c>
    </row>
    <row r="89" spans="1:53">
      <c r="B89" s="165" t="s">
        <v>326</v>
      </c>
      <c r="C89" s="102">
        <f t="shared" si="18"/>
        <v>0</v>
      </c>
      <c r="D89" s="102">
        <f t="shared" si="19"/>
        <v>0</v>
      </c>
      <c r="E89" s="102">
        <f t="shared" si="20"/>
        <v>0</v>
      </c>
      <c r="F89" s="102">
        <f t="shared" si="21"/>
        <v>0</v>
      </c>
      <c r="G89" s="174">
        <f t="shared" si="22"/>
        <v>0</v>
      </c>
    </row>
    <row r="90" spans="1:53">
      <c r="B90" s="165" t="s">
        <v>331</v>
      </c>
      <c r="C90" s="102">
        <f t="shared" si="18"/>
        <v>0</v>
      </c>
      <c r="D90" s="102">
        <f t="shared" si="19"/>
        <v>0</v>
      </c>
      <c r="E90" s="102">
        <f t="shared" si="20"/>
        <v>0</v>
      </c>
      <c r="F90" s="102">
        <f t="shared" si="21"/>
        <v>0</v>
      </c>
      <c r="G90" s="174">
        <f t="shared" si="22"/>
        <v>0</v>
      </c>
    </row>
    <row r="91" spans="1:53">
      <c r="B91" s="166" t="s">
        <v>332</v>
      </c>
      <c r="C91" s="102">
        <f t="shared" si="18"/>
        <v>0</v>
      </c>
      <c r="D91" s="102">
        <f t="shared" si="19"/>
        <v>0</v>
      </c>
      <c r="E91" s="102">
        <f t="shared" si="20"/>
        <v>4391.8320000000003</v>
      </c>
      <c r="F91" s="102">
        <f t="shared" si="21"/>
        <v>4391.8320000000003</v>
      </c>
      <c r="G91" s="174">
        <f t="shared" si="22"/>
        <v>0.14639440000000001</v>
      </c>
    </row>
    <row r="92" spans="1:53">
      <c r="B92" s="166" t="s">
        <v>333</v>
      </c>
      <c r="C92" s="102">
        <f t="shared" si="18"/>
        <v>0</v>
      </c>
      <c r="D92" s="102">
        <f t="shared" si="19"/>
        <v>0</v>
      </c>
      <c r="E92" s="102">
        <f t="shared" si="20"/>
        <v>0</v>
      </c>
      <c r="F92" s="102">
        <f t="shared" si="21"/>
        <v>0</v>
      </c>
      <c r="G92" s="174">
        <f t="shared" si="22"/>
        <v>0</v>
      </c>
    </row>
    <row r="93" spans="1:53">
      <c r="B93" s="175" t="s">
        <v>279</v>
      </c>
      <c r="C93" s="91">
        <f>SUM(C85:C92)</f>
        <v>17072.773000000001</v>
      </c>
      <c r="D93" s="91">
        <f t="shared" ref="D93:F93" si="23">SUM(D85:D92)</f>
        <v>0</v>
      </c>
      <c r="E93" s="91">
        <f t="shared" si="23"/>
        <v>30000</v>
      </c>
      <c r="F93" s="91">
        <f t="shared" si="23"/>
        <v>47072.773000000008</v>
      </c>
      <c r="G93" s="176">
        <f t="shared" si="22"/>
        <v>1</v>
      </c>
    </row>
    <row r="94" spans="1:53">
      <c r="G94" s="173"/>
    </row>
    <row r="95" spans="1:53">
      <c r="B95" s="175" t="str">
        <f>CONCATENATE(справочник!A60," ",справочник!A53)</f>
        <v>Оборудование РФ</v>
      </c>
      <c r="C95" s="352" t="s">
        <v>360</v>
      </c>
      <c r="D95" s="353"/>
      <c r="E95" s="91">
        <f>SUMIF($A$56:$A$78,B95,$J$56:$J$78)</f>
        <v>7708.9679999999998</v>
      </c>
      <c r="F95" s="91"/>
      <c r="G95" s="176">
        <f>IF($E$93=0,0,E95/$E$93)</f>
        <v>0.25696560000000002</v>
      </c>
    </row>
    <row r="97" spans="2:13" ht="18">
      <c r="B97" s="349" t="s">
        <v>358</v>
      </c>
      <c r="C97" s="350"/>
      <c r="D97" s="350"/>
      <c r="E97" s="351"/>
      <c r="F97" s="177" t="str">
        <f>IF(F93&gt;'Программы финансирования'!E29,"R","Q")</f>
        <v>R</v>
      </c>
    </row>
    <row r="98" spans="2:13" ht="18">
      <c r="B98" s="349" t="s">
        <v>354</v>
      </c>
      <c r="C98" s="350"/>
      <c r="D98" s="350"/>
      <c r="E98" s="351"/>
      <c r="F98" s="177" t="str">
        <f>IF(E93&lt;='Программы финансирования'!D15,"R","Q")</f>
        <v>R</v>
      </c>
    </row>
    <row r="99" spans="2:13" ht="18">
      <c r="B99" s="349" t="s">
        <v>355</v>
      </c>
      <c r="C99" s="350"/>
      <c r="D99" s="350"/>
      <c r="E99" s="351"/>
      <c r="F99" s="177" t="str">
        <f>IF((SUM(C93:D93))/F93&gt;='Программы финансирования'!C29,"R","Q")</f>
        <v>R</v>
      </c>
    </row>
    <row r="100" spans="2:13" ht="18">
      <c r="B100" s="349" t="s">
        <v>356</v>
      </c>
      <c r="C100" s="350"/>
      <c r="D100" s="350"/>
      <c r="E100" s="351"/>
      <c r="F100" s="177" t="str">
        <f>IF(AND(G87&lt;='Программы финансирования'!C35,G91&lt;='Программы финансирования'!C39,G92&lt;='Программы финансирования'!C40),"R","Q")</f>
        <v>R</v>
      </c>
    </row>
    <row r="101" spans="2:13" ht="17.45" customHeight="1">
      <c r="B101" s="349" t="s">
        <v>357</v>
      </c>
      <c r="C101" s="350"/>
      <c r="D101" s="350"/>
      <c r="E101" s="351"/>
      <c r="F101" s="177" t="str">
        <f>IF('Параметры займа'!F18&lt;&gt;('Программы финансирования'!G23),"R",IF(AND('Параметры займа'!F18='Программы финансирования'!G23,Предпосылки!G95&gt;=0.5),"R","Q"))</f>
        <v>R</v>
      </c>
    </row>
    <row r="103" spans="2:13" ht="21">
      <c r="B103" s="61" t="s">
        <v>479</v>
      </c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</row>
    <row r="104" spans="2:13" ht="27" customHeight="1">
      <c r="B104" s="62" t="s">
        <v>135</v>
      </c>
      <c r="C104" s="59"/>
      <c r="D104" s="59"/>
      <c r="E104" s="59"/>
      <c r="F104" s="59"/>
      <c r="G104" s="68"/>
      <c r="H104" s="59"/>
      <c r="I104" s="59"/>
      <c r="J104" s="59"/>
      <c r="K104" s="59"/>
      <c r="L104" s="59"/>
      <c r="M104" s="59"/>
    </row>
    <row r="105" spans="2:13" ht="46.5" customHeight="1">
      <c r="B105" s="81" t="s">
        <v>62</v>
      </c>
      <c r="C105" s="81" t="s">
        <v>136</v>
      </c>
      <c r="D105" s="81" t="s">
        <v>107</v>
      </c>
      <c r="E105" s="81" t="s">
        <v>137</v>
      </c>
      <c r="F105" s="81" t="s">
        <v>138</v>
      </c>
      <c r="G105" s="81" t="s">
        <v>170</v>
      </c>
      <c r="H105" s="59"/>
      <c r="I105" s="59"/>
      <c r="J105" s="59"/>
      <c r="K105" s="59"/>
      <c r="L105" s="59"/>
      <c r="M105" s="59"/>
    </row>
    <row r="106" spans="2:13">
      <c r="B106" s="64" t="s">
        <v>512</v>
      </c>
      <c r="C106" s="82" t="s">
        <v>192</v>
      </c>
      <c r="D106" s="303" t="str">
        <f>IF(ISERROR(VLOOKUP($C$16,справочник!$A$28:$E$36,5,FALSE))=TRUE,0,VLOOKUP($C$16,справочник!$A$28:$E$36,5,FALSE))</f>
        <v>да</v>
      </c>
      <c r="E106" s="101">
        <f>IF(ISERROR(VLOOKUP($C$16,справочник!$A$28:$E$36,4,FALSE))=TRUE,0,VLOOKUP($C$16,справочник!$A$28:$E$36,4,FALSE))</f>
        <v>0.22</v>
      </c>
      <c r="F106" s="65" t="s">
        <v>114</v>
      </c>
      <c r="G106" s="179">
        <v>0</v>
      </c>
      <c r="H106" s="59"/>
      <c r="I106" s="59"/>
      <c r="J106" s="59"/>
      <c r="K106" s="59"/>
      <c r="L106" s="59"/>
      <c r="M106" s="59"/>
    </row>
    <row r="107" spans="2:13" outlineLevel="1">
      <c r="B107" s="64" t="s">
        <v>139</v>
      </c>
      <c r="C107" s="82"/>
      <c r="D107" s="303" t="str">
        <f>IF(ISERROR(VLOOKUP($C$16,справочник!$A$28:$E$36,5,FALSE))=TRUE,0,VLOOKUP($C$16,справочник!$A$28:$E$36,5,FALSE))</f>
        <v>да</v>
      </c>
      <c r="E107" s="101">
        <f>IF(ISERROR(VLOOKUP($C$16,справочник!$A$28:$E$36,4,FALSE))=TRUE,0,VLOOKUP($C$16,справочник!$A$28:$E$36,4,FALSE))</f>
        <v>0.22</v>
      </c>
      <c r="F107" s="65"/>
      <c r="G107" s="179"/>
      <c r="H107" s="59"/>
      <c r="I107" s="59"/>
      <c r="J107" s="59"/>
      <c r="K107" s="59"/>
      <c r="L107" s="59"/>
      <c r="M107" s="59"/>
    </row>
    <row r="108" spans="2:13" outlineLevel="1">
      <c r="B108" s="64" t="s">
        <v>140</v>
      </c>
      <c r="C108" s="82"/>
      <c r="D108" s="303" t="str">
        <f>IF(ISERROR(VLOOKUP($C$16,справочник!$A$28:$E$36,5,FALSE))=TRUE,0,VLOOKUP($C$16,справочник!$A$28:$E$36,5,FALSE))</f>
        <v>да</v>
      </c>
      <c r="E108" s="101">
        <f>IF(ISERROR(VLOOKUP($C$16,справочник!$A$28:$E$36,4,FALSE))=TRUE,0,VLOOKUP($C$16,справочник!$A$28:$E$36,4,FALSE))</f>
        <v>0.22</v>
      </c>
      <c r="F108" s="65"/>
      <c r="G108" s="179"/>
      <c r="H108" s="59"/>
      <c r="I108" s="59"/>
      <c r="J108" s="59"/>
      <c r="K108" s="59"/>
      <c r="L108" s="59"/>
      <c r="M108" s="59"/>
    </row>
    <row r="109" spans="2:13" outlineLevel="1">
      <c r="B109" s="64" t="s">
        <v>141</v>
      </c>
      <c r="C109" s="82"/>
      <c r="D109" s="303" t="str">
        <f>IF(ISERROR(VLOOKUP($C$16,справочник!$A$28:$E$36,5,FALSE))=TRUE,0,VLOOKUP($C$16,справочник!$A$28:$E$36,5,FALSE))</f>
        <v>да</v>
      </c>
      <c r="E109" s="101">
        <f>IF(ISERROR(VLOOKUP($C$16,справочник!$A$28:$E$36,4,FALSE))=TRUE,0,VLOOKUP($C$16,справочник!$A$28:$E$36,4,FALSE))</f>
        <v>0.22</v>
      </c>
      <c r="F109" s="65"/>
      <c r="G109" s="179"/>
      <c r="H109" s="59"/>
      <c r="I109" s="59"/>
      <c r="J109" s="59"/>
      <c r="K109" s="59"/>
      <c r="L109" s="59"/>
      <c r="M109" s="59"/>
    </row>
    <row r="110" spans="2:13" outlineLevel="1">
      <c r="B110" s="64" t="s">
        <v>142</v>
      </c>
      <c r="C110" s="82"/>
      <c r="D110" s="303" t="str">
        <f>IF(ISERROR(VLOOKUP($C$16,справочник!$A$28:$E$36,5,FALSE))=TRUE,0,VLOOKUP($C$16,справочник!$A$28:$E$36,5,FALSE))</f>
        <v>да</v>
      </c>
      <c r="E110" s="101">
        <f>IF(ISERROR(VLOOKUP($C$16,справочник!$A$28:$E$36,4,FALSE))=TRUE,0,VLOOKUP($C$16,справочник!$A$28:$E$36,4,FALSE))</f>
        <v>0.22</v>
      </c>
      <c r="F110" s="65"/>
      <c r="G110" s="179"/>
      <c r="H110" s="59"/>
      <c r="I110" s="59"/>
      <c r="J110" s="59"/>
      <c r="K110" s="59"/>
      <c r="L110" s="59"/>
      <c r="M110" s="59"/>
    </row>
    <row r="111" spans="2:13" outlineLevel="1">
      <c r="B111" s="64" t="s">
        <v>143</v>
      </c>
      <c r="C111" s="82"/>
      <c r="D111" s="303" t="str">
        <f>IF(ISERROR(VLOOKUP($C$16,справочник!$A$28:$E$36,5,FALSE))=TRUE,0,VLOOKUP($C$16,справочник!$A$28:$E$36,5,FALSE))</f>
        <v>да</v>
      </c>
      <c r="E111" s="101">
        <f>IF(ISERROR(VLOOKUP($C$16,справочник!$A$28:$E$36,4,FALSE))=TRUE,0,VLOOKUP($C$16,справочник!$A$28:$E$36,4,FALSE))</f>
        <v>0.22</v>
      </c>
      <c r="F111" s="65"/>
      <c r="G111" s="179"/>
      <c r="H111" s="59"/>
      <c r="I111" s="59"/>
      <c r="J111" s="59"/>
      <c r="K111" s="59"/>
      <c r="L111" s="59"/>
      <c r="M111" s="59"/>
    </row>
    <row r="112" spans="2:13" outlineLevel="1">
      <c r="B112" s="64" t="s">
        <v>144</v>
      </c>
      <c r="C112" s="82"/>
      <c r="D112" s="303" t="str">
        <f>IF(ISERROR(VLOOKUP($C$16,справочник!$A$28:$E$36,5,FALSE))=TRUE,0,VLOOKUP($C$16,справочник!$A$28:$E$36,5,FALSE))</f>
        <v>да</v>
      </c>
      <c r="E112" s="101">
        <f>IF(ISERROR(VLOOKUP($C$16,справочник!$A$28:$E$36,4,FALSE))=TRUE,0,VLOOKUP($C$16,справочник!$A$28:$E$36,4,FALSE))</f>
        <v>0.22</v>
      </c>
      <c r="F112" s="65"/>
      <c r="G112" s="179"/>
      <c r="H112" s="59"/>
      <c r="I112" s="59"/>
      <c r="J112" s="59"/>
      <c r="K112" s="59"/>
      <c r="L112" s="59"/>
      <c r="M112" s="59"/>
    </row>
    <row r="113" spans="2:37" outlineLevel="1">
      <c r="B113" s="64" t="s">
        <v>145</v>
      </c>
      <c r="C113" s="82"/>
      <c r="D113" s="303" t="str">
        <f>IF(ISERROR(VLOOKUP($C$16,справочник!$A$28:$E$36,5,FALSE))=TRUE,0,VLOOKUP($C$16,справочник!$A$28:$E$36,5,FALSE))</f>
        <v>да</v>
      </c>
      <c r="E113" s="101">
        <f>IF(ISERROR(VLOOKUP($C$16,справочник!$A$28:$E$36,4,FALSE))=TRUE,0,VLOOKUP($C$16,справочник!$A$28:$E$36,4,FALSE))</f>
        <v>0.22</v>
      </c>
      <c r="F113" s="65"/>
      <c r="G113" s="179"/>
      <c r="H113" s="59"/>
      <c r="I113" s="59"/>
      <c r="J113" s="59"/>
      <c r="K113" s="59"/>
      <c r="L113" s="59"/>
      <c r="M113" s="59"/>
    </row>
    <row r="114" spans="2:37" outlineLevel="1">
      <c r="B114" s="64" t="s">
        <v>146</v>
      </c>
      <c r="C114" s="82"/>
      <c r="D114" s="303" t="str">
        <f>IF(ISERROR(VLOOKUP($C$16,справочник!$A$28:$E$36,5,FALSE))=TRUE,0,VLOOKUP($C$16,справочник!$A$28:$E$36,5,FALSE))</f>
        <v>да</v>
      </c>
      <c r="E114" s="101">
        <f>IF(ISERROR(VLOOKUP($C$16,справочник!$A$28:$E$36,4,FALSE))=TRUE,0,VLOOKUP($C$16,справочник!$A$28:$E$36,4,FALSE))</f>
        <v>0.22</v>
      </c>
      <c r="F114" s="65"/>
      <c r="G114" s="179"/>
      <c r="H114" s="59"/>
      <c r="I114" s="59"/>
      <c r="J114" s="59"/>
      <c r="K114" s="59"/>
      <c r="L114" s="59"/>
      <c r="M114" s="59"/>
    </row>
    <row r="115" spans="2:37" outlineLevel="1">
      <c r="B115" s="64" t="s">
        <v>147</v>
      </c>
      <c r="C115" s="82"/>
      <c r="D115" s="303" t="str">
        <f>IF(ISERROR(VLOOKUP($C$16,справочник!$A$28:$E$36,5,FALSE))=TRUE,0,VLOOKUP($C$16,справочник!$A$28:$E$36,5,FALSE))</f>
        <v>да</v>
      </c>
      <c r="E115" s="101">
        <f>IF(ISERROR(VLOOKUP($C$16,справочник!$A$28:$E$36,4,FALSE))=TRUE,0,VLOOKUP($C$16,справочник!$A$28:$E$36,4,FALSE))</f>
        <v>0.22</v>
      </c>
      <c r="F115" s="65"/>
      <c r="G115" s="179"/>
      <c r="H115" s="59"/>
      <c r="I115" s="59"/>
      <c r="J115" s="59"/>
      <c r="K115" s="59"/>
      <c r="L115" s="59"/>
      <c r="M115" s="59"/>
    </row>
    <row r="116" spans="2:37" outlineLevel="1">
      <c r="B116" s="64" t="s">
        <v>148</v>
      </c>
      <c r="C116" s="82"/>
      <c r="D116" s="303" t="str">
        <f>IF(ISERROR(VLOOKUP($C$16,справочник!$A$28:$E$36,5,FALSE))=TRUE,0,VLOOKUP($C$16,справочник!$A$28:$E$36,5,FALSE))</f>
        <v>да</v>
      </c>
      <c r="E116" s="101">
        <f>IF(ISERROR(VLOOKUP($C$16,справочник!$A$28:$E$36,4,FALSE))=TRUE,0,VLOOKUP($C$16,справочник!$A$28:$E$36,4,FALSE))</f>
        <v>0.22</v>
      </c>
      <c r="F116" s="65"/>
      <c r="G116" s="179"/>
      <c r="H116" s="59"/>
      <c r="I116" s="59"/>
      <c r="J116" s="59"/>
      <c r="K116" s="59"/>
      <c r="L116" s="59"/>
      <c r="M116" s="59"/>
    </row>
    <row r="117" spans="2:37" outlineLevel="1">
      <c r="B117" s="64" t="s">
        <v>149</v>
      </c>
      <c r="C117" s="82"/>
      <c r="D117" s="303" t="str">
        <f>IF(ISERROR(VLOOKUP($C$16,справочник!$A$28:$E$36,5,FALSE))=TRUE,0,VLOOKUP($C$16,справочник!$A$28:$E$36,5,FALSE))</f>
        <v>да</v>
      </c>
      <c r="E117" s="101">
        <f>IF(ISERROR(VLOOKUP($C$16,справочник!$A$28:$E$36,4,FALSE))=TRUE,0,VLOOKUP($C$16,справочник!$A$28:$E$36,4,FALSE))</f>
        <v>0.22</v>
      </c>
      <c r="F117" s="65"/>
      <c r="G117" s="179"/>
      <c r="H117" s="59"/>
      <c r="I117" s="59"/>
      <c r="J117" s="59"/>
      <c r="K117" s="59"/>
      <c r="L117" s="59"/>
      <c r="M117" s="59"/>
    </row>
    <row r="118" spans="2:37" outlineLevel="1">
      <c r="B118" s="64" t="s">
        <v>150</v>
      </c>
      <c r="C118" s="82"/>
      <c r="D118" s="303" t="str">
        <f>IF(ISERROR(VLOOKUP($C$16,справочник!$A$28:$E$36,5,FALSE))=TRUE,0,VLOOKUP($C$16,справочник!$A$28:$E$36,5,FALSE))</f>
        <v>да</v>
      </c>
      <c r="E118" s="101">
        <f>IF(ISERROR(VLOOKUP($C$16,справочник!$A$28:$E$36,4,FALSE))=TRUE,0,VLOOKUP($C$16,справочник!$A$28:$E$36,4,FALSE))</f>
        <v>0.22</v>
      </c>
      <c r="F118" s="65"/>
      <c r="G118" s="179"/>
      <c r="H118" s="59"/>
      <c r="I118" s="59"/>
      <c r="J118" s="59"/>
      <c r="K118" s="59"/>
      <c r="L118" s="59"/>
      <c r="M118" s="59"/>
    </row>
    <row r="119" spans="2:37" outlineLevel="1">
      <c r="B119" s="64" t="s">
        <v>151</v>
      </c>
      <c r="C119" s="82"/>
      <c r="D119" s="303" t="str">
        <f>IF(ISERROR(VLOOKUP($C$16,справочник!$A$28:$E$36,5,FALSE))=TRUE,0,VLOOKUP($C$16,справочник!$A$28:$E$36,5,FALSE))</f>
        <v>да</v>
      </c>
      <c r="E119" s="101">
        <f>IF(ISERROR(VLOOKUP($C$16,справочник!$A$28:$E$36,4,FALSE))=TRUE,0,VLOOKUP($C$16,справочник!$A$28:$E$36,4,FALSE))</f>
        <v>0.22</v>
      </c>
      <c r="F119" s="65"/>
      <c r="G119" s="179"/>
      <c r="H119" s="59"/>
      <c r="I119" s="59"/>
      <c r="J119" s="59"/>
      <c r="K119" s="59"/>
      <c r="L119" s="59"/>
      <c r="M119" s="59"/>
    </row>
    <row r="120" spans="2:37" outlineLevel="1">
      <c r="B120" s="64" t="s">
        <v>152</v>
      </c>
      <c r="C120" s="82"/>
      <c r="D120" s="303" t="str">
        <f>IF(ISERROR(VLOOKUP($C$16,справочник!$A$28:$E$36,5,FALSE))=TRUE,0,VLOOKUP($C$16,справочник!$A$28:$E$36,5,FALSE))</f>
        <v>да</v>
      </c>
      <c r="E120" s="101">
        <f>IF(ISERROR(VLOOKUP($C$16,справочник!$A$28:$E$36,4,FALSE))=TRUE,0,VLOOKUP($C$16,справочник!$A$28:$E$36,4,FALSE))</f>
        <v>0.22</v>
      </c>
      <c r="F120" s="65"/>
      <c r="G120" s="179"/>
      <c r="H120" s="59"/>
      <c r="I120" s="59"/>
      <c r="J120" s="59"/>
      <c r="K120" s="59"/>
      <c r="L120" s="59"/>
      <c r="M120" s="59"/>
    </row>
    <row r="121" spans="2:37" outlineLevel="1">
      <c r="B121" s="64" t="s">
        <v>153</v>
      </c>
      <c r="C121" s="82"/>
      <c r="D121" s="303" t="str">
        <f>IF(ISERROR(VLOOKUP($C$16,справочник!$A$28:$E$36,5,FALSE))=TRUE,0,VLOOKUP($C$16,справочник!$A$28:$E$36,5,FALSE))</f>
        <v>да</v>
      </c>
      <c r="E121" s="101">
        <f>IF(ISERROR(VLOOKUP($C$16,справочник!$A$28:$E$36,4,FALSE))=TRUE,0,VLOOKUP($C$16,справочник!$A$28:$E$36,4,FALSE))</f>
        <v>0.22</v>
      </c>
      <c r="F121" s="65"/>
      <c r="G121" s="179"/>
      <c r="H121" s="59"/>
      <c r="I121" s="59"/>
      <c r="J121" s="59"/>
      <c r="K121" s="59"/>
      <c r="L121" s="59"/>
      <c r="M121" s="59"/>
    </row>
    <row r="122" spans="2:37" outlineLevel="1">
      <c r="B122" s="64" t="s">
        <v>154</v>
      </c>
      <c r="C122" s="82"/>
      <c r="D122" s="303" t="str">
        <f>IF(ISERROR(VLOOKUP($C$16,справочник!$A$28:$E$36,5,FALSE))=TRUE,0,VLOOKUP($C$16,справочник!$A$28:$E$36,5,FALSE))</f>
        <v>да</v>
      </c>
      <c r="E122" s="101">
        <f>IF(ISERROR(VLOOKUP($C$16,справочник!$A$28:$E$36,4,FALSE))=TRUE,0,VLOOKUP($C$16,справочник!$A$28:$E$36,4,FALSE))</f>
        <v>0.22</v>
      </c>
      <c r="F122" s="65"/>
      <c r="G122" s="179"/>
      <c r="H122" s="59"/>
      <c r="I122" s="59"/>
      <c r="J122" s="59"/>
      <c r="K122" s="59"/>
      <c r="L122" s="59"/>
      <c r="M122" s="59"/>
    </row>
    <row r="123" spans="2:37" outlineLevel="1">
      <c r="B123" s="64" t="s">
        <v>155</v>
      </c>
      <c r="C123" s="82"/>
      <c r="D123" s="303" t="str">
        <f>IF(ISERROR(VLOOKUP($C$16,справочник!$A$28:$E$36,5,FALSE))=TRUE,0,VLOOKUP($C$16,справочник!$A$28:$E$36,5,FALSE))</f>
        <v>да</v>
      </c>
      <c r="E123" s="101">
        <f>IF(ISERROR(VLOOKUP($C$16,справочник!$A$28:$E$36,4,FALSE))=TRUE,0,VLOOKUP($C$16,справочник!$A$28:$E$36,4,FALSE))</f>
        <v>0.22</v>
      </c>
      <c r="F123" s="65"/>
      <c r="G123" s="179"/>
      <c r="H123" s="59"/>
      <c r="I123" s="59"/>
      <c r="J123" s="59"/>
      <c r="K123" s="59"/>
      <c r="L123" s="59"/>
      <c r="M123" s="59"/>
    </row>
    <row r="124" spans="2:37" outlineLevel="1">
      <c r="B124" s="64" t="s">
        <v>156</v>
      </c>
      <c r="C124" s="82"/>
      <c r="D124" s="303" t="str">
        <f>IF(ISERROR(VLOOKUP($C$16,справочник!$A$28:$E$36,5,FALSE))=TRUE,0,VLOOKUP($C$16,справочник!$A$28:$E$36,5,FALSE))</f>
        <v>да</v>
      </c>
      <c r="E124" s="101">
        <f>IF(ISERROR(VLOOKUP($C$16,справочник!$A$28:$E$36,4,FALSE))=TRUE,0,VLOOKUP($C$16,справочник!$A$28:$E$36,4,FALSE))</f>
        <v>0.22</v>
      </c>
      <c r="F124" s="65"/>
      <c r="G124" s="179"/>
      <c r="H124" s="59"/>
      <c r="I124" s="59"/>
      <c r="J124" s="59"/>
      <c r="K124" s="59"/>
      <c r="L124" s="59"/>
      <c r="M124" s="59"/>
    </row>
    <row r="125" spans="2:37" outlineLevel="1">
      <c r="B125" s="64" t="s">
        <v>446</v>
      </c>
      <c r="C125" s="82"/>
      <c r="D125" s="303" t="str">
        <f>IF(ISERROR(VLOOKUP($C$16,справочник!$A$28:$E$36,5,FALSE))=TRUE,0,VLOOKUP($C$16,справочник!$A$28:$E$36,5,FALSE))</f>
        <v>да</v>
      </c>
      <c r="E125" s="101">
        <f>IF(ISERROR(VLOOKUP($C$16,справочник!$A$28:$E$36,4,FALSE))=TRUE,0,VLOOKUP($C$16,справочник!$A$28:$E$36,4,FALSE))</f>
        <v>0.22</v>
      </c>
      <c r="F125" s="65"/>
      <c r="G125" s="179"/>
      <c r="H125" s="59"/>
      <c r="I125" s="59"/>
      <c r="J125" s="59"/>
      <c r="K125" s="59"/>
      <c r="L125" s="59"/>
      <c r="M125" s="59"/>
    </row>
    <row r="127" spans="2:37" ht="21" customHeight="1">
      <c r="B127" s="62" t="s">
        <v>157</v>
      </c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60"/>
      <c r="AK127" s="60"/>
    </row>
    <row r="128" spans="2:37" ht="15" customHeight="1">
      <c r="B128" s="347" t="s">
        <v>62</v>
      </c>
      <c r="C128" s="347" t="s">
        <v>63</v>
      </c>
      <c r="D128" s="72">
        <f t="shared" ref="D128:M131" si="24">O52</f>
        <v>1</v>
      </c>
      <c r="E128" s="72">
        <f t="shared" si="24"/>
        <v>2</v>
      </c>
      <c r="F128" s="72">
        <f t="shared" si="24"/>
        <v>3</v>
      </c>
      <c r="G128" s="72">
        <f t="shared" si="24"/>
        <v>4</v>
      </c>
      <c r="H128" s="72">
        <f t="shared" si="24"/>
        <v>5</v>
      </c>
      <c r="I128" s="72">
        <f t="shared" si="24"/>
        <v>6</v>
      </c>
      <c r="J128" s="72">
        <f t="shared" si="24"/>
        <v>7</v>
      </c>
      <c r="K128" s="72">
        <f t="shared" si="24"/>
        <v>8</v>
      </c>
      <c r="L128" s="72">
        <f t="shared" si="24"/>
        <v>9</v>
      </c>
      <c r="M128" s="72">
        <f t="shared" si="24"/>
        <v>10</v>
      </c>
      <c r="N128" s="72">
        <f t="shared" ref="N128:W131" si="25">Y52</f>
        <v>11</v>
      </c>
      <c r="O128" s="72">
        <f t="shared" si="25"/>
        <v>12</v>
      </c>
      <c r="P128" s="72">
        <f t="shared" si="25"/>
        <v>13</v>
      </c>
      <c r="Q128" s="72">
        <f t="shared" si="25"/>
        <v>14</v>
      </c>
      <c r="R128" s="72">
        <f t="shared" si="25"/>
        <v>15</v>
      </c>
      <c r="S128" s="72">
        <f t="shared" si="25"/>
        <v>16</v>
      </c>
      <c r="T128" s="72">
        <f t="shared" si="25"/>
        <v>17</v>
      </c>
      <c r="U128" s="72">
        <f t="shared" si="25"/>
        <v>18</v>
      </c>
      <c r="V128" s="72">
        <f t="shared" si="25"/>
        <v>19</v>
      </c>
      <c r="W128" s="72">
        <f t="shared" si="25"/>
        <v>20</v>
      </c>
      <c r="X128" s="72">
        <f t="shared" ref="X128:AG131" si="26">AI52</f>
        <v>21</v>
      </c>
      <c r="Y128" s="72">
        <f t="shared" si="26"/>
        <v>22</v>
      </c>
      <c r="Z128" s="72">
        <f t="shared" si="26"/>
        <v>23</v>
      </c>
      <c r="AA128" s="72">
        <f t="shared" si="26"/>
        <v>24</v>
      </c>
      <c r="AB128" s="72">
        <f t="shared" si="26"/>
        <v>25</v>
      </c>
      <c r="AC128" s="72">
        <f t="shared" si="26"/>
        <v>26</v>
      </c>
      <c r="AD128" s="72">
        <f t="shared" si="26"/>
        <v>27</v>
      </c>
      <c r="AE128" s="72">
        <f t="shared" si="26"/>
        <v>28</v>
      </c>
      <c r="AF128" s="72">
        <f t="shared" si="26"/>
        <v>29</v>
      </c>
      <c r="AG128" s="72">
        <f t="shared" si="26"/>
        <v>30</v>
      </c>
      <c r="AI128" s="44"/>
      <c r="AJ128" s="44"/>
      <c r="AK128" s="44"/>
    </row>
    <row r="129" spans="2:37">
      <c r="B129" s="347"/>
      <c r="C129" s="347"/>
      <c r="D129" s="73">
        <f t="shared" si="24"/>
        <v>46023</v>
      </c>
      <c r="E129" s="73">
        <f t="shared" si="24"/>
        <v>46113</v>
      </c>
      <c r="F129" s="73">
        <f t="shared" si="24"/>
        <v>46204</v>
      </c>
      <c r="G129" s="73">
        <f t="shared" si="24"/>
        <v>46296</v>
      </c>
      <c r="H129" s="73">
        <f t="shared" si="24"/>
        <v>46388</v>
      </c>
      <c r="I129" s="73">
        <f t="shared" si="24"/>
        <v>46478</v>
      </c>
      <c r="J129" s="73">
        <f t="shared" si="24"/>
        <v>46569</v>
      </c>
      <c r="K129" s="73">
        <f t="shared" si="24"/>
        <v>46661</v>
      </c>
      <c r="L129" s="73">
        <f t="shared" si="24"/>
        <v>46753</v>
      </c>
      <c r="M129" s="73">
        <f t="shared" si="24"/>
        <v>46844</v>
      </c>
      <c r="N129" s="73">
        <f t="shared" si="25"/>
        <v>46935</v>
      </c>
      <c r="O129" s="73">
        <f t="shared" si="25"/>
        <v>47027</v>
      </c>
      <c r="P129" s="73">
        <f t="shared" si="25"/>
        <v>47119</v>
      </c>
      <c r="Q129" s="73">
        <f t="shared" si="25"/>
        <v>47209</v>
      </c>
      <c r="R129" s="73">
        <f t="shared" si="25"/>
        <v>47300</v>
      </c>
      <c r="S129" s="73">
        <f t="shared" si="25"/>
        <v>47392</v>
      </c>
      <c r="T129" s="73">
        <f t="shared" si="25"/>
        <v>47484</v>
      </c>
      <c r="U129" s="73">
        <f t="shared" si="25"/>
        <v>47574</v>
      </c>
      <c r="V129" s="73">
        <f t="shared" si="25"/>
        <v>47665</v>
      </c>
      <c r="W129" s="73">
        <f t="shared" si="25"/>
        <v>47757</v>
      </c>
      <c r="X129" s="73">
        <f t="shared" si="26"/>
        <v>47849</v>
      </c>
      <c r="Y129" s="73">
        <f t="shared" si="26"/>
        <v>47939</v>
      </c>
      <c r="Z129" s="73">
        <f t="shared" si="26"/>
        <v>48030</v>
      </c>
      <c r="AA129" s="73">
        <f t="shared" si="26"/>
        <v>48122</v>
      </c>
      <c r="AB129" s="73">
        <f t="shared" si="26"/>
        <v>48214</v>
      </c>
      <c r="AC129" s="73">
        <f t="shared" si="26"/>
        <v>48305</v>
      </c>
      <c r="AD129" s="73">
        <f t="shared" si="26"/>
        <v>48396</v>
      </c>
      <c r="AE129" s="73">
        <f t="shared" si="26"/>
        <v>48488</v>
      </c>
      <c r="AF129" s="73">
        <f t="shared" si="26"/>
        <v>48580</v>
      </c>
      <c r="AG129" s="73">
        <f t="shared" si="26"/>
        <v>48670</v>
      </c>
      <c r="AI129" s="44"/>
      <c r="AJ129" s="44"/>
      <c r="AK129" s="44"/>
    </row>
    <row r="130" spans="2:37">
      <c r="B130" s="347"/>
      <c r="C130" s="347"/>
      <c r="D130" s="73">
        <f t="shared" si="24"/>
        <v>46112</v>
      </c>
      <c r="E130" s="73">
        <f t="shared" si="24"/>
        <v>46203</v>
      </c>
      <c r="F130" s="73">
        <f t="shared" si="24"/>
        <v>46295</v>
      </c>
      <c r="G130" s="73">
        <f t="shared" si="24"/>
        <v>46387</v>
      </c>
      <c r="H130" s="73">
        <f t="shared" si="24"/>
        <v>46477</v>
      </c>
      <c r="I130" s="73">
        <f t="shared" si="24"/>
        <v>46568</v>
      </c>
      <c r="J130" s="73">
        <f t="shared" si="24"/>
        <v>46660</v>
      </c>
      <c r="K130" s="73">
        <f t="shared" si="24"/>
        <v>46752</v>
      </c>
      <c r="L130" s="73">
        <f t="shared" si="24"/>
        <v>46843</v>
      </c>
      <c r="M130" s="73">
        <f t="shared" si="24"/>
        <v>46934</v>
      </c>
      <c r="N130" s="73">
        <f t="shared" si="25"/>
        <v>47026</v>
      </c>
      <c r="O130" s="73">
        <f t="shared" si="25"/>
        <v>47118</v>
      </c>
      <c r="P130" s="73">
        <f t="shared" si="25"/>
        <v>47208</v>
      </c>
      <c r="Q130" s="73">
        <f t="shared" si="25"/>
        <v>47299</v>
      </c>
      <c r="R130" s="73">
        <f t="shared" si="25"/>
        <v>47391</v>
      </c>
      <c r="S130" s="73">
        <f t="shared" si="25"/>
        <v>47483</v>
      </c>
      <c r="T130" s="73">
        <f t="shared" si="25"/>
        <v>47573</v>
      </c>
      <c r="U130" s="73">
        <f t="shared" si="25"/>
        <v>47664</v>
      </c>
      <c r="V130" s="73">
        <f t="shared" si="25"/>
        <v>47756</v>
      </c>
      <c r="W130" s="73">
        <f t="shared" si="25"/>
        <v>47848</v>
      </c>
      <c r="X130" s="73">
        <f t="shared" si="26"/>
        <v>47938</v>
      </c>
      <c r="Y130" s="73">
        <f t="shared" si="26"/>
        <v>48029</v>
      </c>
      <c r="Z130" s="73">
        <f t="shared" si="26"/>
        <v>48121</v>
      </c>
      <c r="AA130" s="73">
        <f t="shared" si="26"/>
        <v>48213</v>
      </c>
      <c r="AB130" s="73">
        <f t="shared" si="26"/>
        <v>48304</v>
      </c>
      <c r="AC130" s="73">
        <f t="shared" si="26"/>
        <v>48395</v>
      </c>
      <c r="AD130" s="73">
        <f t="shared" si="26"/>
        <v>48487</v>
      </c>
      <c r="AE130" s="73">
        <f t="shared" si="26"/>
        <v>48579</v>
      </c>
      <c r="AF130" s="73">
        <f t="shared" si="26"/>
        <v>48669</v>
      </c>
      <c r="AG130" s="73">
        <f t="shared" si="26"/>
        <v>48760</v>
      </c>
      <c r="AI130" s="44"/>
      <c r="AJ130" s="44"/>
      <c r="AK130" s="44"/>
    </row>
    <row r="131" spans="2:37">
      <c r="B131" s="347"/>
      <c r="C131" s="347"/>
      <c r="D131" s="73" t="str">
        <f t="shared" si="24"/>
        <v>1 кв 2026</v>
      </c>
      <c r="E131" s="73" t="str">
        <f t="shared" si="24"/>
        <v>2 кв 2026</v>
      </c>
      <c r="F131" s="73" t="str">
        <f t="shared" si="24"/>
        <v>3 кв 2026</v>
      </c>
      <c r="G131" s="73" t="str">
        <f t="shared" si="24"/>
        <v>4 кв 2026</v>
      </c>
      <c r="H131" s="73" t="str">
        <f t="shared" si="24"/>
        <v>1 кв 2027</v>
      </c>
      <c r="I131" s="73" t="str">
        <f t="shared" si="24"/>
        <v>2 кв 2027</v>
      </c>
      <c r="J131" s="73" t="str">
        <f t="shared" si="24"/>
        <v>3 кв 2027</v>
      </c>
      <c r="K131" s="73" t="str">
        <f t="shared" si="24"/>
        <v>4 кв 2027</v>
      </c>
      <c r="L131" s="73" t="str">
        <f t="shared" si="24"/>
        <v>1 кв 2028</v>
      </c>
      <c r="M131" s="73" t="str">
        <f t="shared" si="24"/>
        <v>2 кв 2028</v>
      </c>
      <c r="N131" s="73" t="str">
        <f t="shared" si="25"/>
        <v>3 кв 2028</v>
      </c>
      <c r="O131" s="73" t="str">
        <f t="shared" si="25"/>
        <v>4 кв 2028</v>
      </c>
      <c r="P131" s="73" t="str">
        <f t="shared" si="25"/>
        <v>1 кв 2029</v>
      </c>
      <c r="Q131" s="73" t="str">
        <f t="shared" si="25"/>
        <v>2 кв 2029</v>
      </c>
      <c r="R131" s="73" t="str">
        <f t="shared" si="25"/>
        <v>3 кв 2029</v>
      </c>
      <c r="S131" s="73" t="str">
        <f t="shared" si="25"/>
        <v>4 кв 2029</v>
      </c>
      <c r="T131" s="73" t="str">
        <f t="shared" si="25"/>
        <v>1 кв 2030</v>
      </c>
      <c r="U131" s="73" t="str">
        <f t="shared" si="25"/>
        <v>2 кв 2030</v>
      </c>
      <c r="V131" s="73" t="str">
        <f t="shared" si="25"/>
        <v>3 кв 2030</v>
      </c>
      <c r="W131" s="73" t="str">
        <f t="shared" si="25"/>
        <v>4 кв 2030</v>
      </c>
      <c r="X131" s="73" t="str">
        <f t="shared" si="26"/>
        <v>1 кв 2031</v>
      </c>
      <c r="Y131" s="73" t="str">
        <f t="shared" si="26"/>
        <v>2 кв 2031</v>
      </c>
      <c r="Z131" s="73" t="str">
        <f t="shared" si="26"/>
        <v>3 кв 2031</v>
      </c>
      <c r="AA131" s="73" t="str">
        <f t="shared" si="26"/>
        <v>4 кв 2031</v>
      </c>
      <c r="AB131" s="73" t="str">
        <f t="shared" si="26"/>
        <v>1 кв 2032</v>
      </c>
      <c r="AC131" s="73" t="str">
        <f t="shared" si="26"/>
        <v>2 кв 2032</v>
      </c>
      <c r="AD131" s="73" t="str">
        <f t="shared" si="26"/>
        <v>3 кв 2032</v>
      </c>
      <c r="AE131" s="73" t="str">
        <f t="shared" si="26"/>
        <v>4 кв 2032</v>
      </c>
      <c r="AF131" s="73" t="str">
        <f t="shared" si="26"/>
        <v>1 кв 2033</v>
      </c>
      <c r="AG131" s="73" t="str">
        <f t="shared" si="26"/>
        <v>2 кв 2033</v>
      </c>
      <c r="AI131" s="44"/>
      <c r="AJ131" s="44"/>
      <c r="AK131" s="44"/>
    </row>
    <row r="132" spans="2:37">
      <c r="B132" s="85" t="str">
        <f>IF(B106=0,"-",B106)</f>
        <v>Продукт 1</v>
      </c>
      <c r="C132" s="86" t="s">
        <v>93</v>
      </c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I132" s="44"/>
      <c r="AJ132" s="44"/>
      <c r="AK132" s="44"/>
    </row>
    <row r="133" spans="2:37" outlineLevel="1">
      <c r="B133" s="85" t="str">
        <f t="shared" ref="B133:B151" si="27">IF(B107=0,"-",B107)</f>
        <v>Продукт 2</v>
      </c>
      <c r="C133" s="86" t="s">
        <v>93</v>
      </c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I133" s="44"/>
      <c r="AJ133" s="44"/>
      <c r="AK133" s="44"/>
    </row>
    <row r="134" spans="2:37" outlineLevel="1">
      <c r="B134" s="85" t="str">
        <f t="shared" si="27"/>
        <v>Продукт 3</v>
      </c>
      <c r="C134" s="86" t="s">
        <v>93</v>
      </c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I134" s="44"/>
      <c r="AJ134" s="44"/>
      <c r="AK134" s="44"/>
    </row>
    <row r="135" spans="2:37" outlineLevel="1">
      <c r="B135" s="85" t="str">
        <f t="shared" si="27"/>
        <v>Продукт 4</v>
      </c>
      <c r="C135" s="86" t="s">
        <v>93</v>
      </c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I135" s="44"/>
      <c r="AJ135" s="44"/>
      <c r="AK135" s="44"/>
    </row>
    <row r="136" spans="2:37" outlineLevel="1">
      <c r="B136" s="85" t="str">
        <f t="shared" si="27"/>
        <v>Продукт 5</v>
      </c>
      <c r="C136" s="86" t="s">
        <v>93</v>
      </c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I136" s="44"/>
      <c r="AJ136" s="44"/>
      <c r="AK136" s="44"/>
    </row>
    <row r="137" spans="2:37" outlineLevel="1">
      <c r="B137" s="85" t="str">
        <f t="shared" si="27"/>
        <v>Продукт 6</v>
      </c>
      <c r="C137" s="86" t="s">
        <v>93</v>
      </c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I137" s="44"/>
      <c r="AJ137" s="44"/>
      <c r="AK137" s="44"/>
    </row>
    <row r="138" spans="2:37" outlineLevel="1">
      <c r="B138" s="85" t="str">
        <f t="shared" si="27"/>
        <v>Продукт 7</v>
      </c>
      <c r="C138" s="86" t="s">
        <v>93</v>
      </c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I138" s="44"/>
      <c r="AJ138" s="44"/>
      <c r="AK138" s="44"/>
    </row>
    <row r="139" spans="2:37" outlineLevel="1">
      <c r="B139" s="85" t="str">
        <f t="shared" si="27"/>
        <v>Продукт 8</v>
      </c>
      <c r="C139" s="86" t="s">
        <v>93</v>
      </c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  <c r="AI139" s="44"/>
      <c r="AJ139" s="44"/>
      <c r="AK139" s="44"/>
    </row>
    <row r="140" spans="2:37" outlineLevel="1">
      <c r="B140" s="85" t="str">
        <f t="shared" si="27"/>
        <v>Продукт 9</v>
      </c>
      <c r="C140" s="86" t="s">
        <v>93</v>
      </c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77"/>
      <c r="AI140" s="44"/>
      <c r="AJ140" s="44"/>
      <c r="AK140" s="44"/>
    </row>
    <row r="141" spans="2:37" outlineLevel="1">
      <c r="B141" s="85" t="str">
        <f t="shared" si="27"/>
        <v>Продукт 10</v>
      </c>
      <c r="C141" s="86" t="s">
        <v>93</v>
      </c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I141" s="44"/>
      <c r="AJ141" s="44"/>
      <c r="AK141" s="44"/>
    </row>
    <row r="142" spans="2:37" outlineLevel="1">
      <c r="B142" s="85" t="str">
        <f t="shared" si="27"/>
        <v>Продукт 11</v>
      </c>
      <c r="C142" s="86" t="s">
        <v>93</v>
      </c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  <c r="AG142" s="77"/>
      <c r="AI142" s="44"/>
      <c r="AJ142" s="44"/>
      <c r="AK142" s="44"/>
    </row>
    <row r="143" spans="2:37" outlineLevel="1">
      <c r="B143" s="85" t="str">
        <f t="shared" si="27"/>
        <v>Продукт 12</v>
      </c>
      <c r="C143" s="86" t="s">
        <v>93</v>
      </c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7"/>
      <c r="AE143" s="77"/>
      <c r="AF143" s="77"/>
      <c r="AG143" s="77"/>
      <c r="AI143" s="44"/>
      <c r="AJ143" s="44"/>
      <c r="AK143" s="44"/>
    </row>
    <row r="144" spans="2:37" outlineLevel="1">
      <c r="B144" s="85" t="str">
        <f t="shared" si="27"/>
        <v>Продукт 13</v>
      </c>
      <c r="C144" s="86" t="s">
        <v>93</v>
      </c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77"/>
      <c r="AG144" s="77"/>
      <c r="AI144" s="44"/>
      <c r="AJ144" s="44"/>
      <c r="AK144" s="44"/>
    </row>
    <row r="145" spans="2:37" outlineLevel="1">
      <c r="B145" s="85" t="str">
        <f t="shared" si="27"/>
        <v>Продукт 14</v>
      </c>
      <c r="C145" s="86" t="s">
        <v>93</v>
      </c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  <c r="AF145" s="77"/>
      <c r="AG145" s="77"/>
      <c r="AI145" s="44"/>
      <c r="AJ145" s="44"/>
      <c r="AK145" s="44"/>
    </row>
    <row r="146" spans="2:37" outlineLevel="1">
      <c r="B146" s="85" t="str">
        <f t="shared" si="27"/>
        <v>Продукт 15</v>
      </c>
      <c r="C146" s="86" t="s">
        <v>93</v>
      </c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  <c r="AD146" s="77"/>
      <c r="AE146" s="77"/>
      <c r="AF146" s="77"/>
      <c r="AG146" s="77"/>
      <c r="AI146" s="44"/>
      <c r="AJ146" s="44"/>
      <c r="AK146" s="44"/>
    </row>
    <row r="147" spans="2:37" outlineLevel="1">
      <c r="B147" s="85" t="str">
        <f t="shared" si="27"/>
        <v>Продукт 16</v>
      </c>
      <c r="C147" s="86" t="s">
        <v>93</v>
      </c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  <c r="AD147" s="77"/>
      <c r="AE147" s="77"/>
      <c r="AF147" s="77"/>
      <c r="AG147" s="77"/>
      <c r="AI147" s="44"/>
      <c r="AJ147" s="44"/>
      <c r="AK147" s="44"/>
    </row>
    <row r="148" spans="2:37" outlineLevel="1">
      <c r="B148" s="85" t="str">
        <f t="shared" si="27"/>
        <v>Продукт 17</v>
      </c>
      <c r="C148" s="86" t="s">
        <v>93</v>
      </c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  <c r="AA148" s="77"/>
      <c r="AB148" s="77"/>
      <c r="AC148" s="77"/>
      <c r="AD148" s="77"/>
      <c r="AE148" s="77"/>
      <c r="AF148" s="77"/>
      <c r="AG148" s="77"/>
      <c r="AI148" s="44"/>
      <c r="AJ148" s="44"/>
      <c r="AK148" s="44"/>
    </row>
    <row r="149" spans="2:37" outlineLevel="1">
      <c r="B149" s="85" t="str">
        <f t="shared" si="27"/>
        <v>Продукт 18</v>
      </c>
      <c r="C149" s="86" t="s">
        <v>93</v>
      </c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  <c r="AD149" s="77"/>
      <c r="AE149" s="77"/>
      <c r="AF149" s="77"/>
      <c r="AG149" s="77"/>
      <c r="AI149" s="44"/>
      <c r="AJ149" s="44"/>
      <c r="AK149" s="44"/>
    </row>
    <row r="150" spans="2:37" outlineLevel="1">
      <c r="B150" s="85" t="str">
        <f t="shared" si="27"/>
        <v>Продукт 19</v>
      </c>
      <c r="C150" s="86" t="s">
        <v>93</v>
      </c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  <c r="AA150" s="77"/>
      <c r="AB150" s="77"/>
      <c r="AC150" s="77"/>
      <c r="AD150" s="77"/>
      <c r="AE150" s="77"/>
      <c r="AF150" s="77"/>
      <c r="AG150" s="77"/>
      <c r="AI150" s="44"/>
      <c r="AJ150" s="44"/>
      <c r="AK150" s="44"/>
    </row>
    <row r="151" spans="2:37" outlineLevel="1">
      <c r="B151" s="85" t="str">
        <f t="shared" si="27"/>
        <v>Продукт 20</v>
      </c>
      <c r="C151" s="86" t="s">
        <v>93</v>
      </c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77"/>
      <c r="AE151" s="77"/>
      <c r="AF151" s="77"/>
      <c r="AG151" s="77"/>
      <c r="AI151" s="44"/>
      <c r="AJ151" s="44"/>
      <c r="AK151" s="44"/>
    </row>
    <row r="152" spans="2:37">
      <c r="AI152" s="44"/>
      <c r="AJ152" s="44"/>
      <c r="AK152" s="44"/>
    </row>
    <row r="153" spans="2:37" ht="27" customHeight="1">
      <c r="B153" s="62" t="s">
        <v>158</v>
      </c>
      <c r="AI153" s="44"/>
      <c r="AJ153" s="44"/>
      <c r="AK153" s="44"/>
    </row>
    <row r="154" spans="2:37">
      <c r="B154" s="347" t="s">
        <v>62</v>
      </c>
      <c r="C154" s="347" t="s">
        <v>63</v>
      </c>
      <c r="D154" s="72">
        <f t="shared" ref="D154:M157" si="28">O52</f>
        <v>1</v>
      </c>
      <c r="E154" s="72">
        <f t="shared" si="28"/>
        <v>2</v>
      </c>
      <c r="F154" s="72">
        <f t="shared" si="28"/>
        <v>3</v>
      </c>
      <c r="G154" s="72">
        <f t="shared" si="28"/>
        <v>4</v>
      </c>
      <c r="H154" s="72">
        <f t="shared" si="28"/>
        <v>5</v>
      </c>
      <c r="I154" s="72">
        <f t="shared" si="28"/>
        <v>6</v>
      </c>
      <c r="J154" s="72">
        <f t="shared" si="28"/>
        <v>7</v>
      </c>
      <c r="K154" s="72">
        <f t="shared" si="28"/>
        <v>8</v>
      </c>
      <c r="L154" s="72">
        <f t="shared" si="28"/>
        <v>9</v>
      </c>
      <c r="M154" s="72">
        <f t="shared" si="28"/>
        <v>10</v>
      </c>
      <c r="N154" s="72">
        <f t="shared" ref="N154:W157" si="29">Y52</f>
        <v>11</v>
      </c>
      <c r="O154" s="72">
        <f t="shared" si="29"/>
        <v>12</v>
      </c>
      <c r="P154" s="72">
        <f t="shared" si="29"/>
        <v>13</v>
      </c>
      <c r="Q154" s="72">
        <f t="shared" si="29"/>
        <v>14</v>
      </c>
      <c r="R154" s="72">
        <f t="shared" si="29"/>
        <v>15</v>
      </c>
      <c r="S154" s="72">
        <f t="shared" si="29"/>
        <v>16</v>
      </c>
      <c r="T154" s="72">
        <f t="shared" si="29"/>
        <v>17</v>
      </c>
      <c r="U154" s="72">
        <f t="shared" si="29"/>
        <v>18</v>
      </c>
      <c r="V154" s="72">
        <f t="shared" si="29"/>
        <v>19</v>
      </c>
      <c r="W154" s="72">
        <f t="shared" si="29"/>
        <v>20</v>
      </c>
      <c r="X154" s="72">
        <f t="shared" ref="X154:AG157" si="30">AI52</f>
        <v>21</v>
      </c>
      <c r="Y154" s="72">
        <f t="shared" si="30"/>
        <v>22</v>
      </c>
      <c r="Z154" s="72">
        <f t="shared" si="30"/>
        <v>23</v>
      </c>
      <c r="AA154" s="72">
        <f t="shared" si="30"/>
        <v>24</v>
      </c>
      <c r="AB154" s="72">
        <f t="shared" si="30"/>
        <v>25</v>
      </c>
      <c r="AC154" s="72">
        <f t="shared" si="30"/>
        <v>26</v>
      </c>
      <c r="AD154" s="72">
        <f t="shared" si="30"/>
        <v>27</v>
      </c>
      <c r="AE154" s="72">
        <f t="shared" si="30"/>
        <v>28</v>
      </c>
      <c r="AF154" s="72">
        <f t="shared" si="30"/>
        <v>29</v>
      </c>
      <c r="AG154" s="72">
        <f t="shared" si="30"/>
        <v>30</v>
      </c>
      <c r="AI154" s="44"/>
      <c r="AJ154" s="44"/>
      <c r="AK154" s="44"/>
    </row>
    <row r="155" spans="2:37">
      <c r="B155" s="347"/>
      <c r="C155" s="347"/>
      <c r="D155" s="73">
        <f t="shared" si="28"/>
        <v>46023</v>
      </c>
      <c r="E155" s="73">
        <f t="shared" si="28"/>
        <v>46113</v>
      </c>
      <c r="F155" s="73">
        <f t="shared" si="28"/>
        <v>46204</v>
      </c>
      <c r="G155" s="73">
        <f t="shared" si="28"/>
        <v>46296</v>
      </c>
      <c r="H155" s="73">
        <f t="shared" si="28"/>
        <v>46388</v>
      </c>
      <c r="I155" s="73">
        <f t="shared" si="28"/>
        <v>46478</v>
      </c>
      <c r="J155" s="73">
        <f t="shared" si="28"/>
        <v>46569</v>
      </c>
      <c r="K155" s="73">
        <f t="shared" si="28"/>
        <v>46661</v>
      </c>
      <c r="L155" s="73">
        <f t="shared" si="28"/>
        <v>46753</v>
      </c>
      <c r="M155" s="73">
        <f t="shared" si="28"/>
        <v>46844</v>
      </c>
      <c r="N155" s="73">
        <f t="shared" si="29"/>
        <v>46935</v>
      </c>
      <c r="O155" s="73">
        <f t="shared" si="29"/>
        <v>47027</v>
      </c>
      <c r="P155" s="73">
        <f t="shared" si="29"/>
        <v>47119</v>
      </c>
      <c r="Q155" s="73">
        <f t="shared" si="29"/>
        <v>47209</v>
      </c>
      <c r="R155" s="73">
        <f t="shared" si="29"/>
        <v>47300</v>
      </c>
      <c r="S155" s="73">
        <f t="shared" si="29"/>
        <v>47392</v>
      </c>
      <c r="T155" s="73">
        <f t="shared" si="29"/>
        <v>47484</v>
      </c>
      <c r="U155" s="73">
        <f t="shared" si="29"/>
        <v>47574</v>
      </c>
      <c r="V155" s="73">
        <f t="shared" si="29"/>
        <v>47665</v>
      </c>
      <c r="W155" s="73">
        <f t="shared" si="29"/>
        <v>47757</v>
      </c>
      <c r="X155" s="73">
        <f t="shared" si="30"/>
        <v>47849</v>
      </c>
      <c r="Y155" s="73">
        <f t="shared" si="30"/>
        <v>47939</v>
      </c>
      <c r="Z155" s="73">
        <f t="shared" si="30"/>
        <v>48030</v>
      </c>
      <c r="AA155" s="73">
        <f t="shared" si="30"/>
        <v>48122</v>
      </c>
      <c r="AB155" s="73">
        <f t="shared" si="30"/>
        <v>48214</v>
      </c>
      <c r="AC155" s="73">
        <f t="shared" si="30"/>
        <v>48305</v>
      </c>
      <c r="AD155" s="73">
        <f t="shared" si="30"/>
        <v>48396</v>
      </c>
      <c r="AE155" s="73">
        <f t="shared" si="30"/>
        <v>48488</v>
      </c>
      <c r="AF155" s="73">
        <f t="shared" si="30"/>
        <v>48580</v>
      </c>
      <c r="AG155" s="73">
        <f t="shared" si="30"/>
        <v>48670</v>
      </c>
      <c r="AI155" s="44"/>
      <c r="AJ155" s="44"/>
      <c r="AK155" s="44"/>
    </row>
    <row r="156" spans="2:37">
      <c r="B156" s="347"/>
      <c r="C156" s="347"/>
      <c r="D156" s="73">
        <f t="shared" si="28"/>
        <v>46112</v>
      </c>
      <c r="E156" s="73">
        <f t="shared" si="28"/>
        <v>46203</v>
      </c>
      <c r="F156" s="73">
        <f t="shared" si="28"/>
        <v>46295</v>
      </c>
      <c r="G156" s="73">
        <f t="shared" si="28"/>
        <v>46387</v>
      </c>
      <c r="H156" s="73">
        <f t="shared" si="28"/>
        <v>46477</v>
      </c>
      <c r="I156" s="73">
        <f t="shared" si="28"/>
        <v>46568</v>
      </c>
      <c r="J156" s="73">
        <f t="shared" si="28"/>
        <v>46660</v>
      </c>
      <c r="K156" s="73">
        <f t="shared" si="28"/>
        <v>46752</v>
      </c>
      <c r="L156" s="73">
        <f t="shared" si="28"/>
        <v>46843</v>
      </c>
      <c r="M156" s="73">
        <f t="shared" si="28"/>
        <v>46934</v>
      </c>
      <c r="N156" s="73">
        <f t="shared" si="29"/>
        <v>47026</v>
      </c>
      <c r="O156" s="73">
        <f t="shared" si="29"/>
        <v>47118</v>
      </c>
      <c r="P156" s="73">
        <f t="shared" si="29"/>
        <v>47208</v>
      </c>
      <c r="Q156" s="73">
        <f t="shared" si="29"/>
        <v>47299</v>
      </c>
      <c r="R156" s="73">
        <f t="shared" si="29"/>
        <v>47391</v>
      </c>
      <c r="S156" s="73">
        <f t="shared" si="29"/>
        <v>47483</v>
      </c>
      <c r="T156" s="73">
        <f t="shared" si="29"/>
        <v>47573</v>
      </c>
      <c r="U156" s="73">
        <f t="shared" si="29"/>
        <v>47664</v>
      </c>
      <c r="V156" s="73">
        <f t="shared" si="29"/>
        <v>47756</v>
      </c>
      <c r="W156" s="73">
        <f t="shared" si="29"/>
        <v>47848</v>
      </c>
      <c r="X156" s="73">
        <f t="shared" si="30"/>
        <v>47938</v>
      </c>
      <c r="Y156" s="73">
        <f t="shared" si="30"/>
        <v>48029</v>
      </c>
      <c r="Z156" s="73">
        <f t="shared" si="30"/>
        <v>48121</v>
      </c>
      <c r="AA156" s="73">
        <f t="shared" si="30"/>
        <v>48213</v>
      </c>
      <c r="AB156" s="73">
        <f t="shared" si="30"/>
        <v>48304</v>
      </c>
      <c r="AC156" s="73">
        <f t="shared" si="30"/>
        <v>48395</v>
      </c>
      <c r="AD156" s="73">
        <f t="shared" si="30"/>
        <v>48487</v>
      </c>
      <c r="AE156" s="73">
        <f t="shared" si="30"/>
        <v>48579</v>
      </c>
      <c r="AF156" s="73">
        <f t="shared" si="30"/>
        <v>48669</v>
      </c>
      <c r="AG156" s="73">
        <f t="shared" si="30"/>
        <v>48760</v>
      </c>
      <c r="AI156" s="44"/>
      <c r="AJ156" s="44"/>
      <c r="AK156" s="44"/>
    </row>
    <row r="157" spans="2:37">
      <c r="B157" s="347"/>
      <c r="C157" s="347"/>
      <c r="D157" s="73" t="str">
        <f t="shared" si="28"/>
        <v>1 кв 2026</v>
      </c>
      <c r="E157" s="73" t="str">
        <f t="shared" si="28"/>
        <v>2 кв 2026</v>
      </c>
      <c r="F157" s="73" t="str">
        <f t="shared" si="28"/>
        <v>3 кв 2026</v>
      </c>
      <c r="G157" s="73" t="str">
        <f t="shared" si="28"/>
        <v>4 кв 2026</v>
      </c>
      <c r="H157" s="73" t="str">
        <f t="shared" si="28"/>
        <v>1 кв 2027</v>
      </c>
      <c r="I157" s="73" t="str">
        <f t="shared" si="28"/>
        <v>2 кв 2027</v>
      </c>
      <c r="J157" s="73" t="str">
        <f t="shared" si="28"/>
        <v>3 кв 2027</v>
      </c>
      <c r="K157" s="73" t="str">
        <f t="shared" si="28"/>
        <v>4 кв 2027</v>
      </c>
      <c r="L157" s="73" t="str">
        <f t="shared" si="28"/>
        <v>1 кв 2028</v>
      </c>
      <c r="M157" s="73" t="str">
        <f t="shared" si="28"/>
        <v>2 кв 2028</v>
      </c>
      <c r="N157" s="73" t="str">
        <f t="shared" si="29"/>
        <v>3 кв 2028</v>
      </c>
      <c r="O157" s="73" t="str">
        <f t="shared" si="29"/>
        <v>4 кв 2028</v>
      </c>
      <c r="P157" s="73" t="str">
        <f t="shared" si="29"/>
        <v>1 кв 2029</v>
      </c>
      <c r="Q157" s="73" t="str">
        <f t="shared" si="29"/>
        <v>2 кв 2029</v>
      </c>
      <c r="R157" s="73" t="str">
        <f t="shared" si="29"/>
        <v>3 кв 2029</v>
      </c>
      <c r="S157" s="73" t="str">
        <f t="shared" si="29"/>
        <v>4 кв 2029</v>
      </c>
      <c r="T157" s="73" t="str">
        <f t="shared" si="29"/>
        <v>1 кв 2030</v>
      </c>
      <c r="U157" s="73" t="str">
        <f t="shared" si="29"/>
        <v>2 кв 2030</v>
      </c>
      <c r="V157" s="73" t="str">
        <f t="shared" si="29"/>
        <v>3 кв 2030</v>
      </c>
      <c r="W157" s="73" t="str">
        <f t="shared" si="29"/>
        <v>4 кв 2030</v>
      </c>
      <c r="X157" s="73" t="str">
        <f t="shared" si="30"/>
        <v>1 кв 2031</v>
      </c>
      <c r="Y157" s="73" t="str">
        <f t="shared" si="30"/>
        <v>2 кв 2031</v>
      </c>
      <c r="Z157" s="73" t="str">
        <f t="shared" si="30"/>
        <v>3 кв 2031</v>
      </c>
      <c r="AA157" s="73" t="str">
        <f t="shared" si="30"/>
        <v>4 кв 2031</v>
      </c>
      <c r="AB157" s="73" t="str">
        <f t="shared" si="30"/>
        <v>1 кв 2032</v>
      </c>
      <c r="AC157" s="73" t="str">
        <f t="shared" si="30"/>
        <v>2 кв 2032</v>
      </c>
      <c r="AD157" s="73" t="str">
        <f t="shared" si="30"/>
        <v>3 кв 2032</v>
      </c>
      <c r="AE157" s="73" t="str">
        <f t="shared" si="30"/>
        <v>4 кв 2032</v>
      </c>
      <c r="AF157" s="73" t="str">
        <f t="shared" si="30"/>
        <v>1 кв 2033</v>
      </c>
      <c r="AG157" s="73" t="str">
        <f t="shared" si="30"/>
        <v>2 кв 2033</v>
      </c>
      <c r="AI157" s="44" t="s">
        <v>435</v>
      </c>
      <c r="AJ157" s="44" t="s">
        <v>436</v>
      </c>
      <c r="AK157" s="44"/>
    </row>
    <row r="158" spans="2:37" outlineLevel="1">
      <c r="B158" s="258" t="str">
        <f>'Квартальная отчетность'!H18</f>
        <v>Период займа ФРП</v>
      </c>
      <c r="C158" s="258"/>
      <c r="D158" s="140">
        <f>'Квартальная отчетность'!L18</f>
        <v>1</v>
      </c>
      <c r="E158" s="140">
        <f>'Квартальная отчетность'!M18</f>
        <v>1</v>
      </c>
      <c r="F158" s="140">
        <f>'Квартальная отчетность'!N18</f>
        <v>1</v>
      </c>
      <c r="G158" s="140">
        <f>'Квартальная отчетность'!O18</f>
        <v>1</v>
      </c>
      <c r="H158" s="140">
        <f>'Квартальная отчетность'!P18</f>
        <v>1</v>
      </c>
      <c r="I158" s="140">
        <f>'Квартальная отчетность'!Q18</f>
        <v>1</v>
      </c>
      <c r="J158" s="140">
        <f>'Квартальная отчетность'!R18</f>
        <v>1</v>
      </c>
      <c r="K158" s="140">
        <f>'Квартальная отчетность'!S18</f>
        <v>1</v>
      </c>
      <c r="L158" s="140">
        <f>'Квартальная отчетность'!T18</f>
        <v>1</v>
      </c>
      <c r="M158" s="140">
        <f>'Квартальная отчетность'!U18</f>
        <v>1</v>
      </c>
      <c r="N158" s="140">
        <f>'Квартальная отчетность'!V18</f>
        <v>1</v>
      </c>
      <c r="O158" s="140">
        <f>'Квартальная отчетность'!W18</f>
        <v>1</v>
      </c>
      <c r="P158" s="140">
        <f>'Квартальная отчетность'!X18</f>
        <v>1</v>
      </c>
      <c r="Q158" s="140">
        <f>'Квартальная отчетность'!Y18</f>
        <v>1</v>
      </c>
      <c r="R158" s="140">
        <f>'Квартальная отчетность'!Z18</f>
        <v>1</v>
      </c>
      <c r="S158" s="140">
        <f>'Квартальная отчетность'!AA18</f>
        <v>1</v>
      </c>
      <c r="T158" s="140">
        <f>'Квартальная отчетность'!AB18</f>
        <v>1</v>
      </c>
      <c r="U158" s="140">
        <f>'Квартальная отчетность'!AC18</f>
        <v>1</v>
      </c>
      <c r="V158" s="140">
        <f>'Квартальная отчетность'!AD18</f>
        <v>1</v>
      </c>
      <c r="W158" s="140">
        <f>'Квартальная отчетность'!AE18</f>
        <v>1</v>
      </c>
      <c r="X158" s="140">
        <f>'Квартальная отчетность'!AF18</f>
        <v>1</v>
      </c>
      <c r="Y158" s="140">
        <f>'Квартальная отчетность'!AG18</f>
        <v>0</v>
      </c>
      <c r="Z158" s="140">
        <f>'Квартальная отчетность'!AH18</f>
        <v>0</v>
      </c>
      <c r="AA158" s="140">
        <f>'Квартальная отчетность'!AI18</f>
        <v>0</v>
      </c>
      <c r="AB158" s="140">
        <f>'Квартальная отчетность'!AJ18</f>
        <v>0</v>
      </c>
      <c r="AC158" s="140">
        <f>'Квартальная отчетность'!AK18</f>
        <v>0</v>
      </c>
      <c r="AD158" s="140">
        <f>'Квартальная отчетность'!AL18</f>
        <v>0</v>
      </c>
      <c r="AE158" s="140">
        <f>'Квартальная отчетность'!AM18</f>
        <v>0</v>
      </c>
      <c r="AF158" s="140">
        <f>'Квартальная отчетность'!AN18</f>
        <v>0</v>
      </c>
      <c r="AG158" s="140">
        <f>'Квартальная отчетность'!AO18</f>
        <v>0</v>
      </c>
      <c r="AI158" s="44"/>
      <c r="AJ158" s="44"/>
      <c r="AK158" s="44"/>
    </row>
    <row r="159" spans="2:37" outlineLevel="1">
      <c r="B159" s="258" t="str">
        <f>'Квартальная отчетность'!H19</f>
        <v>Период горизонта планирования</v>
      </c>
      <c r="C159" s="258"/>
      <c r="D159" s="140">
        <f>'Квартальная отчетность'!L19</f>
        <v>1</v>
      </c>
      <c r="E159" s="140">
        <f>'Квартальная отчетность'!M19</f>
        <v>1</v>
      </c>
      <c r="F159" s="140">
        <f>'Квартальная отчетность'!N19</f>
        <v>1</v>
      </c>
      <c r="G159" s="140">
        <f>'Квартальная отчетность'!O19</f>
        <v>1</v>
      </c>
      <c r="H159" s="140">
        <f>'Квартальная отчетность'!P19</f>
        <v>1</v>
      </c>
      <c r="I159" s="140">
        <f>'Квартальная отчетность'!Q19</f>
        <v>1</v>
      </c>
      <c r="J159" s="140">
        <f>'Квартальная отчетность'!R19</f>
        <v>1</v>
      </c>
      <c r="K159" s="140">
        <f>'Квартальная отчетность'!S19</f>
        <v>1</v>
      </c>
      <c r="L159" s="140">
        <f>'Квартальная отчетность'!T19</f>
        <v>1</v>
      </c>
      <c r="M159" s="140">
        <f>'Квартальная отчетность'!U19</f>
        <v>1</v>
      </c>
      <c r="N159" s="140">
        <f>'Квартальная отчетность'!V19</f>
        <v>1</v>
      </c>
      <c r="O159" s="140">
        <f>'Квартальная отчетность'!W19</f>
        <v>1</v>
      </c>
      <c r="P159" s="140">
        <f>'Квартальная отчетность'!X19</f>
        <v>1</v>
      </c>
      <c r="Q159" s="140">
        <f>'Квартальная отчетность'!Y19</f>
        <v>1</v>
      </c>
      <c r="R159" s="140">
        <f>'Квартальная отчетность'!Z19</f>
        <v>1</v>
      </c>
      <c r="S159" s="140">
        <f>'Квартальная отчетность'!AA19</f>
        <v>1</v>
      </c>
      <c r="T159" s="140">
        <f>'Квартальная отчетность'!AB19</f>
        <v>1</v>
      </c>
      <c r="U159" s="140">
        <f>'Квартальная отчетность'!AC19</f>
        <v>1</v>
      </c>
      <c r="V159" s="140">
        <f>'Квартальная отчетность'!AD19</f>
        <v>1</v>
      </c>
      <c r="W159" s="140">
        <f>'Квартальная отчетность'!AE19</f>
        <v>1</v>
      </c>
      <c r="X159" s="140">
        <f>'Квартальная отчетность'!AF19</f>
        <v>1</v>
      </c>
      <c r="Y159" s="140">
        <f>'Квартальная отчетность'!AG19</f>
        <v>1</v>
      </c>
      <c r="Z159" s="140">
        <f>'Квартальная отчетность'!AH19</f>
        <v>1</v>
      </c>
      <c r="AA159" s="140">
        <f>'Квартальная отчетность'!AI19</f>
        <v>1</v>
      </c>
      <c r="AB159" s="140">
        <f>'Квартальная отчетность'!AJ19</f>
        <v>1</v>
      </c>
      <c r="AC159" s="140">
        <f>'Квартальная отчетность'!AK19</f>
        <v>1</v>
      </c>
      <c r="AD159" s="140">
        <f>'Квартальная отчетность'!AL19</f>
        <v>1</v>
      </c>
      <c r="AE159" s="140">
        <f>'Квартальная отчетность'!AM19</f>
        <v>1</v>
      </c>
      <c r="AF159" s="140">
        <f>'Квартальная отчетность'!AN19</f>
        <v>1</v>
      </c>
      <c r="AG159" s="140">
        <f>'Квартальная отчетность'!AO19</f>
        <v>0</v>
      </c>
      <c r="AI159" s="44"/>
      <c r="AJ159" s="44"/>
      <c r="AK159" s="44"/>
    </row>
    <row r="160" spans="2:37" outlineLevel="1">
      <c r="B160" s="258" t="str">
        <f>'Квартальная отчетность'!H13</f>
        <v>Календарный год</v>
      </c>
      <c r="C160" s="258"/>
      <c r="D160" s="258">
        <f>'Квартальная отчетность'!L13</f>
        <v>2026</v>
      </c>
      <c r="E160" s="258">
        <f>'Квартальная отчетность'!M13</f>
        <v>2026</v>
      </c>
      <c r="F160" s="258">
        <f>'Квартальная отчетность'!N13</f>
        <v>2026</v>
      </c>
      <c r="G160" s="258">
        <f>'Квартальная отчетность'!O13</f>
        <v>2026</v>
      </c>
      <c r="H160" s="258">
        <f>'Квартальная отчетность'!P13</f>
        <v>2027</v>
      </c>
      <c r="I160" s="258">
        <f>'Квартальная отчетность'!Q13</f>
        <v>2027</v>
      </c>
      <c r="J160" s="258">
        <f>'Квартальная отчетность'!R13</f>
        <v>2027</v>
      </c>
      <c r="K160" s="258">
        <f>'Квартальная отчетность'!S13</f>
        <v>2027</v>
      </c>
      <c r="L160" s="258">
        <f>'Квартальная отчетность'!T13</f>
        <v>2028</v>
      </c>
      <c r="M160" s="258">
        <f>'Квартальная отчетность'!U13</f>
        <v>2028</v>
      </c>
      <c r="N160" s="258">
        <f>'Квартальная отчетность'!V13</f>
        <v>2028</v>
      </c>
      <c r="O160" s="258">
        <f>'Квартальная отчетность'!W13</f>
        <v>2028</v>
      </c>
      <c r="P160" s="258">
        <f>'Квартальная отчетность'!X13</f>
        <v>2029</v>
      </c>
      <c r="Q160" s="258">
        <f>'Квартальная отчетность'!Y13</f>
        <v>2029</v>
      </c>
      <c r="R160" s="258">
        <f>'Квартальная отчетность'!Z13</f>
        <v>2029</v>
      </c>
      <c r="S160" s="258">
        <f>'Квартальная отчетность'!AA13</f>
        <v>2029</v>
      </c>
      <c r="T160" s="258">
        <f>'Квартальная отчетность'!AB13</f>
        <v>2030</v>
      </c>
      <c r="U160" s="258">
        <f>'Квартальная отчетность'!AC13</f>
        <v>2030</v>
      </c>
      <c r="V160" s="258">
        <f>'Квартальная отчетность'!AD13</f>
        <v>2030</v>
      </c>
      <c r="W160" s="258">
        <f>'Квартальная отчетность'!AE13</f>
        <v>2030</v>
      </c>
      <c r="X160" s="258">
        <f>'Квартальная отчетность'!AF13</f>
        <v>2031</v>
      </c>
      <c r="Y160" s="258">
        <f>'Квартальная отчетность'!AG13</f>
        <v>2031</v>
      </c>
      <c r="Z160" s="258">
        <f>'Квартальная отчетность'!AH13</f>
        <v>2031</v>
      </c>
      <c r="AA160" s="258">
        <f>'Квартальная отчетность'!AI13</f>
        <v>2031</v>
      </c>
      <c r="AB160" s="258">
        <f>'Квартальная отчетность'!AJ13</f>
        <v>2032</v>
      </c>
      <c r="AC160" s="258">
        <f>'Квартальная отчетность'!AK13</f>
        <v>2032</v>
      </c>
      <c r="AD160" s="258">
        <f>'Квартальная отчетность'!AL13</f>
        <v>2032</v>
      </c>
      <c r="AE160" s="258">
        <f>'Квартальная отчетность'!AM13</f>
        <v>2032</v>
      </c>
      <c r="AF160" s="258">
        <f>'Квартальная отчетность'!AN13</f>
        <v>2033</v>
      </c>
      <c r="AG160" s="258">
        <f>'Квартальная отчетность'!AO13</f>
        <v>2033</v>
      </c>
      <c r="AI160" s="44"/>
      <c r="AJ160" s="44"/>
      <c r="AK160" s="44"/>
    </row>
    <row r="161" spans="1:37">
      <c r="A161" s="248">
        <f>Предпосылки!B431</f>
        <v>0</v>
      </c>
      <c r="B161" s="85" t="str">
        <f>IF(B106=0,"-",B106)</f>
        <v>Продукт 1</v>
      </c>
      <c r="C161" s="69" t="str">
        <f>IF(C106=0,"-",C106)</f>
        <v>комплет</v>
      </c>
      <c r="D161" s="77"/>
      <c r="E161" s="77"/>
      <c r="F161" s="77">
        <v>2</v>
      </c>
      <c r="G161" s="77">
        <v>2</v>
      </c>
      <c r="H161" s="77">
        <v>2</v>
      </c>
      <c r="I161" s="77">
        <v>2</v>
      </c>
      <c r="J161" s="77">
        <v>3</v>
      </c>
      <c r="K161" s="77">
        <v>4</v>
      </c>
      <c r="L161" s="77">
        <v>3</v>
      </c>
      <c r="M161" s="77">
        <v>3</v>
      </c>
      <c r="N161" s="77">
        <v>7</v>
      </c>
      <c r="O161" s="77">
        <v>7</v>
      </c>
      <c r="P161" s="77">
        <v>4</v>
      </c>
      <c r="Q161" s="77">
        <v>5</v>
      </c>
      <c r="R161" s="77">
        <v>9</v>
      </c>
      <c r="S161" s="77">
        <v>9</v>
      </c>
      <c r="T161" s="77">
        <v>5</v>
      </c>
      <c r="U161" s="77">
        <v>6</v>
      </c>
      <c r="V161" s="77">
        <v>11</v>
      </c>
      <c r="W161" s="77">
        <v>11</v>
      </c>
      <c r="X161" s="77">
        <v>6</v>
      </c>
      <c r="Y161" s="77">
        <v>6</v>
      </c>
      <c r="Z161" s="77">
        <v>11</v>
      </c>
      <c r="AA161" s="77">
        <v>11</v>
      </c>
      <c r="AB161" s="77">
        <v>6</v>
      </c>
      <c r="AC161" s="77">
        <v>6</v>
      </c>
      <c r="AD161" s="77">
        <v>11</v>
      </c>
      <c r="AE161" s="77">
        <v>11</v>
      </c>
      <c r="AF161" s="77">
        <v>6</v>
      </c>
      <c r="AG161" s="77"/>
      <c r="AI161" s="44">
        <f>SUMIF($D$158:$AG$158,1,D161:AG161)</f>
        <v>101</v>
      </c>
      <c r="AJ161" s="44">
        <f>SUMIF($D$159:$AG$159,1,D161:AG161)</f>
        <v>169</v>
      </c>
      <c r="AK161" s="44"/>
    </row>
    <row r="162" spans="1:37" outlineLevel="1">
      <c r="A162" s="248">
        <f>Предпосылки!B432</f>
        <v>0</v>
      </c>
      <c r="B162" s="85" t="str">
        <f t="shared" ref="B162:C162" si="31">IF(B107=0,"-",B107)</f>
        <v>Продукт 2</v>
      </c>
      <c r="C162" s="69" t="str">
        <f t="shared" si="31"/>
        <v>-</v>
      </c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  <c r="AA162" s="77"/>
      <c r="AB162" s="77"/>
      <c r="AC162" s="77"/>
      <c r="AD162" s="77"/>
      <c r="AE162" s="77"/>
      <c r="AF162" s="77"/>
      <c r="AG162" s="77"/>
      <c r="AI162" s="44">
        <f t="shared" ref="AI162:AI180" si="32">SUMIF($D$158:$AG$158,1,D162:AG162)</f>
        <v>0</v>
      </c>
      <c r="AJ162" s="44">
        <f t="shared" ref="AJ162:AJ180" si="33">SUMIF($D$159:$AG$159,1,D162:AG162)</f>
        <v>0</v>
      </c>
      <c r="AK162" s="44"/>
    </row>
    <row r="163" spans="1:37" outlineLevel="1">
      <c r="A163" s="248">
        <f>Предпосылки!B433</f>
        <v>0</v>
      </c>
      <c r="B163" s="85" t="str">
        <f t="shared" ref="B163:C163" si="34">IF(B108=0,"-",B108)</f>
        <v>Продукт 3</v>
      </c>
      <c r="C163" s="69" t="str">
        <f t="shared" si="34"/>
        <v>-</v>
      </c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I163" s="44">
        <f t="shared" si="32"/>
        <v>0</v>
      </c>
      <c r="AJ163" s="44">
        <f t="shared" si="33"/>
        <v>0</v>
      </c>
      <c r="AK163" s="44"/>
    </row>
    <row r="164" spans="1:37" outlineLevel="1">
      <c r="A164" s="248">
        <f>Предпосылки!B434</f>
        <v>0</v>
      </c>
      <c r="B164" s="85" t="str">
        <f t="shared" ref="B164:C164" si="35">IF(B109=0,"-",B109)</f>
        <v>Продукт 4</v>
      </c>
      <c r="C164" s="69" t="str">
        <f t="shared" si="35"/>
        <v>-</v>
      </c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  <c r="AA164" s="77"/>
      <c r="AB164" s="77"/>
      <c r="AC164" s="77"/>
      <c r="AD164" s="77"/>
      <c r="AE164" s="77"/>
      <c r="AF164" s="77"/>
      <c r="AG164" s="77"/>
      <c r="AI164" s="44">
        <f t="shared" si="32"/>
        <v>0</v>
      </c>
      <c r="AJ164" s="44">
        <f t="shared" si="33"/>
        <v>0</v>
      </c>
      <c r="AK164" s="44"/>
    </row>
    <row r="165" spans="1:37" outlineLevel="1">
      <c r="A165" s="256">
        <f>SUM(A161:A164)</f>
        <v>0</v>
      </c>
      <c r="B165" s="85" t="str">
        <f t="shared" ref="B165:C165" si="36">IF(B110=0,"-",B110)</f>
        <v>Продукт 5</v>
      </c>
      <c r="C165" s="69" t="str">
        <f t="shared" si="36"/>
        <v>-</v>
      </c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I165" s="44">
        <f t="shared" si="32"/>
        <v>0</v>
      </c>
      <c r="AJ165" s="44">
        <f t="shared" si="33"/>
        <v>0</v>
      </c>
      <c r="AK165" s="44"/>
    </row>
    <row r="166" spans="1:37" outlineLevel="1">
      <c r="A166" s="1">
        <f t="shared" ref="A166:A180" si="37">G111</f>
        <v>0</v>
      </c>
      <c r="B166" s="85" t="str">
        <f t="shared" ref="B166:C166" si="38">IF(B111=0,"-",B111)</f>
        <v>Продукт 6</v>
      </c>
      <c r="C166" s="69" t="str">
        <f t="shared" si="38"/>
        <v>-</v>
      </c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  <c r="AC166" s="77"/>
      <c r="AD166" s="77"/>
      <c r="AE166" s="77"/>
      <c r="AF166" s="77"/>
      <c r="AG166" s="77"/>
      <c r="AI166" s="44">
        <f t="shared" si="32"/>
        <v>0</v>
      </c>
      <c r="AJ166" s="44">
        <f t="shared" si="33"/>
        <v>0</v>
      </c>
      <c r="AK166" s="44"/>
    </row>
    <row r="167" spans="1:37" outlineLevel="1">
      <c r="A167" s="1">
        <f t="shared" si="37"/>
        <v>0</v>
      </c>
      <c r="B167" s="85" t="str">
        <f t="shared" ref="B167:C167" si="39">IF(B112=0,"-",B112)</f>
        <v>Продукт 7</v>
      </c>
      <c r="C167" s="69" t="str">
        <f t="shared" si="39"/>
        <v>-</v>
      </c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I167" s="44">
        <f t="shared" si="32"/>
        <v>0</v>
      </c>
      <c r="AJ167" s="44">
        <f t="shared" si="33"/>
        <v>0</v>
      </c>
      <c r="AK167" s="44"/>
    </row>
    <row r="168" spans="1:37" outlineLevel="1">
      <c r="A168" s="1">
        <f t="shared" si="37"/>
        <v>0</v>
      </c>
      <c r="B168" s="85" t="str">
        <f t="shared" ref="B168:C168" si="40">IF(B113=0,"-",B113)</f>
        <v>Продукт 8</v>
      </c>
      <c r="C168" s="69" t="str">
        <f t="shared" si="40"/>
        <v>-</v>
      </c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I168" s="44">
        <f t="shared" si="32"/>
        <v>0</v>
      </c>
      <c r="AJ168" s="44">
        <f t="shared" si="33"/>
        <v>0</v>
      </c>
      <c r="AK168" s="44"/>
    </row>
    <row r="169" spans="1:37" outlineLevel="1">
      <c r="A169" s="1">
        <f t="shared" si="37"/>
        <v>0</v>
      </c>
      <c r="B169" s="85" t="str">
        <f t="shared" ref="B169:C169" si="41">IF(B114=0,"-",B114)</f>
        <v>Продукт 9</v>
      </c>
      <c r="C169" s="69" t="str">
        <f t="shared" si="41"/>
        <v>-</v>
      </c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  <c r="AA169" s="77"/>
      <c r="AB169" s="77"/>
      <c r="AC169" s="77"/>
      <c r="AD169" s="77"/>
      <c r="AE169" s="77"/>
      <c r="AF169" s="77"/>
      <c r="AG169" s="77"/>
      <c r="AI169" s="44">
        <f t="shared" si="32"/>
        <v>0</v>
      </c>
      <c r="AJ169" s="44">
        <f t="shared" si="33"/>
        <v>0</v>
      </c>
      <c r="AK169" s="44"/>
    </row>
    <row r="170" spans="1:37" outlineLevel="1">
      <c r="A170" s="1">
        <f t="shared" si="37"/>
        <v>0</v>
      </c>
      <c r="B170" s="85" t="str">
        <f t="shared" ref="B170:C170" si="42">IF(B115=0,"-",B115)</f>
        <v>Продукт 10</v>
      </c>
      <c r="C170" s="69" t="str">
        <f t="shared" si="42"/>
        <v>-</v>
      </c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  <c r="AA170" s="77"/>
      <c r="AB170" s="77"/>
      <c r="AC170" s="77"/>
      <c r="AD170" s="77"/>
      <c r="AE170" s="77"/>
      <c r="AF170" s="77"/>
      <c r="AG170" s="77"/>
      <c r="AI170" s="44">
        <f t="shared" si="32"/>
        <v>0</v>
      </c>
      <c r="AJ170" s="44">
        <f t="shared" si="33"/>
        <v>0</v>
      </c>
      <c r="AK170" s="44"/>
    </row>
    <row r="171" spans="1:37" outlineLevel="1">
      <c r="A171" s="1">
        <f t="shared" si="37"/>
        <v>0</v>
      </c>
      <c r="B171" s="85" t="str">
        <f t="shared" ref="B171:C171" si="43">IF(B116=0,"-",B116)</f>
        <v>Продукт 11</v>
      </c>
      <c r="C171" s="69" t="str">
        <f t="shared" si="43"/>
        <v>-</v>
      </c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  <c r="AD171" s="77"/>
      <c r="AE171" s="77"/>
      <c r="AF171" s="77"/>
      <c r="AG171" s="77"/>
      <c r="AI171" s="44">
        <f t="shared" si="32"/>
        <v>0</v>
      </c>
      <c r="AJ171" s="44">
        <f t="shared" si="33"/>
        <v>0</v>
      </c>
      <c r="AK171" s="44"/>
    </row>
    <row r="172" spans="1:37" outlineLevel="1">
      <c r="A172" s="1">
        <f t="shared" si="37"/>
        <v>0</v>
      </c>
      <c r="B172" s="85" t="str">
        <f t="shared" ref="B172:C172" si="44">IF(B117=0,"-",B117)</f>
        <v>Продукт 12</v>
      </c>
      <c r="C172" s="69" t="str">
        <f t="shared" si="44"/>
        <v>-</v>
      </c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  <c r="AD172" s="77"/>
      <c r="AE172" s="77"/>
      <c r="AF172" s="77"/>
      <c r="AG172" s="77"/>
      <c r="AI172" s="44">
        <f t="shared" si="32"/>
        <v>0</v>
      </c>
      <c r="AJ172" s="44">
        <f t="shared" si="33"/>
        <v>0</v>
      </c>
      <c r="AK172" s="44"/>
    </row>
    <row r="173" spans="1:37" outlineLevel="1">
      <c r="A173" s="1">
        <f t="shared" si="37"/>
        <v>0</v>
      </c>
      <c r="B173" s="85" t="str">
        <f t="shared" ref="B173:C173" si="45">IF(B118=0,"-",B118)</f>
        <v>Продукт 13</v>
      </c>
      <c r="C173" s="69" t="str">
        <f t="shared" si="45"/>
        <v>-</v>
      </c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  <c r="AD173" s="77"/>
      <c r="AE173" s="77"/>
      <c r="AF173" s="77"/>
      <c r="AG173" s="77"/>
      <c r="AI173" s="44">
        <f t="shared" si="32"/>
        <v>0</v>
      </c>
      <c r="AJ173" s="44">
        <f t="shared" si="33"/>
        <v>0</v>
      </c>
      <c r="AK173" s="44"/>
    </row>
    <row r="174" spans="1:37" outlineLevel="1">
      <c r="A174" s="1">
        <f t="shared" si="37"/>
        <v>0</v>
      </c>
      <c r="B174" s="85" t="str">
        <f t="shared" ref="B174:C174" si="46">IF(B119=0,"-",B119)</f>
        <v>Продукт 14</v>
      </c>
      <c r="C174" s="69" t="str">
        <f t="shared" si="46"/>
        <v>-</v>
      </c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  <c r="AG174" s="77"/>
      <c r="AI174" s="44">
        <f t="shared" si="32"/>
        <v>0</v>
      </c>
      <c r="AJ174" s="44">
        <f t="shared" si="33"/>
        <v>0</v>
      </c>
      <c r="AK174" s="44"/>
    </row>
    <row r="175" spans="1:37" outlineLevel="1">
      <c r="A175" s="1">
        <f t="shared" si="37"/>
        <v>0</v>
      </c>
      <c r="B175" s="85" t="str">
        <f t="shared" ref="B175:C175" si="47">IF(B120=0,"-",B120)</f>
        <v>Продукт 15</v>
      </c>
      <c r="C175" s="69" t="str">
        <f t="shared" si="47"/>
        <v>-</v>
      </c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  <c r="AD175" s="77"/>
      <c r="AE175" s="77"/>
      <c r="AF175" s="77"/>
      <c r="AG175" s="77"/>
      <c r="AI175" s="44">
        <f t="shared" si="32"/>
        <v>0</v>
      </c>
      <c r="AJ175" s="44">
        <f t="shared" si="33"/>
        <v>0</v>
      </c>
      <c r="AK175" s="44"/>
    </row>
    <row r="176" spans="1:37" outlineLevel="1">
      <c r="A176" s="1">
        <f t="shared" si="37"/>
        <v>0</v>
      </c>
      <c r="B176" s="85" t="str">
        <f t="shared" ref="B176:C176" si="48">IF(B121=0,"-",B121)</f>
        <v>Продукт 16</v>
      </c>
      <c r="C176" s="69" t="str">
        <f t="shared" si="48"/>
        <v>-</v>
      </c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  <c r="AG176" s="77"/>
      <c r="AI176" s="44">
        <f t="shared" si="32"/>
        <v>0</v>
      </c>
      <c r="AJ176" s="44">
        <f t="shared" si="33"/>
        <v>0</v>
      </c>
      <c r="AK176" s="44"/>
    </row>
    <row r="177" spans="1:37" outlineLevel="1">
      <c r="A177" s="1">
        <f t="shared" si="37"/>
        <v>0</v>
      </c>
      <c r="B177" s="85" t="str">
        <f t="shared" ref="B177:C177" si="49">IF(B122=0,"-",B122)</f>
        <v>Продукт 17</v>
      </c>
      <c r="C177" s="69" t="str">
        <f t="shared" si="49"/>
        <v>-</v>
      </c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  <c r="AD177" s="77"/>
      <c r="AE177" s="77"/>
      <c r="AF177" s="77"/>
      <c r="AG177" s="77"/>
      <c r="AI177" s="44">
        <f t="shared" si="32"/>
        <v>0</v>
      </c>
      <c r="AJ177" s="44">
        <f t="shared" si="33"/>
        <v>0</v>
      </c>
      <c r="AK177" s="44"/>
    </row>
    <row r="178" spans="1:37" outlineLevel="1">
      <c r="A178" s="1">
        <f t="shared" si="37"/>
        <v>0</v>
      </c>
      <c r="B178" s="85" t="str">
        <f t="shared" ref="B178:C178" si="50">IF(B123=0,"-",B123)</f>
        <v>Продукт 18</v>
      </c>
      <c r="C178" s="69" t="str">
        <f t="shared" si="50"/>
        <v>-</v>
      </c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  <c r="AA178" s="77"/>
      <c r="AB178" s="77"/>
      <c r="AC178" s="77"/>
      <c r="AD178" s="77"/>
      <c r="AE178" s="77"/>
      <c r="AF178" s="77"/>
      <c r="AG178" s="77"/>
      <c r="AI178" s="44">
        <f t="shared" si="32"/>
        <v>0</v>
      </c>
      <c r="AJ178" s="44">
        <f t="shared" si="33"/>
        <v>0</v>
      </c>
      <c r="AK178" s="44"/>
    </row>
    <row r="179" spans="1:37" outlineLevel="1">
      <c r="A179" s="1">
        <f t="shared" si="37"/>
        <v>0</v>
      </c>
      <c r="B179" s="85" t="str">
        <f t="shared" ref="B179:C179" si="51">IF(B124=0,"-",B124)</f>
        <v>Продукт 19</v>
      </c>
      <c r="C179" s="69" t="str">
        <f t="shared" si="51"/>
        <v>-</v>
      </c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  <c r="AA179" s="77"/>
      <c r="AB179" s="77"/>
      <c r="AC179" s="77"/>
      <c r="AD179" s="77"/>
      <c r="AE179" s="77"/>
      <c r="AF179" s="77"/>
      <c r="AG179" s="77"/>
      <c r="AI179" s="44">
        <f t="shared" si="32"/>
        <v>0</v>
      </c>
      <c r="AJ179" s="44">
        <f t="shared" si="33"/>
        <v>0</v>
      </c>
      <c r="AK179" s="44"/>
    </row>
    <row r="180" spans="1:37" outlineLevel="1">
      <c r="A180" s="1">
        <f t="shared" si="37"/>
        <v>0</v>
      </c>
      <c r="B180" s="85" t="str">
        <f t="shared" ref="B180:C180" si="52">IF(B125=0,"-",B125)</f>
        <v>Продукт 20</v>
      </c>
      <c r="C180" s="69" t="str">
        <f t="shared" si="52"/>
        <v>-</v>
      </c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I180" s="44">
        <f t="shared" si="32"/>
        <v>0</v>
      </c>
      <c r="AJ180" s="44">
        <f t="shared" si="33"/>
        <v>0</v>
      </c>
      <c r="AK180" s="44"/>
    </row>
    <row r="181" spans="1:37">
      <c r="AI181" s="44"/>
      <c r="AJ181" s="44"/>
      <c r="AK181" s="44"/>
    </row>
    <row r="182" spans="1:37" ht="15.75">
      <c r="B182" s="62" t="s">
        <v>306</v>
      </c>
    </row>
    <row r="183" spans="1:37">
      <c r="B183" s="347" t="s">
        <v>62</v>
      </c>
      <c r="C183" s="347" t="s">
        <v>63</v>
      </c>
      <c r="D183" s="72">
        <f t="shared" ref="D183:H186" si="53">D154</f>
        <v>1</v>
      </c>
      <c r="E183" s="72">
        <f t="shared" si="53"/>
        <v>2</v>
      </c>
      <c r="F183" s="72">
        <f t="shared" si="53"/>
        <v>3</v>
      </c>
      <c r="G183" s="72">
        <f t="shared" si="53"/>
        <v>4</v>
      </c>
      <c r="H183" s="72">
        <f t="shared" si="53"/>
        <v>5</v>
      </c>
      <c r="I183" s="72">
        <f t="shared" ref="I183:AG183" si="54">I154</f>
        <v>6</v>
      </c>
      <c r="J183" s="72">
        <f t="shared" si="54"/>
        <v>7</v>
      </c>
      <c r="K183" s="72">
        <f t="shared" si="54"/>
        <v>8</v>
      </c>
      <c r="L183" s="72">
        <f t="shared" si="54"/>
        <v>9</v>
      </c>
      <c r="M183" s="72">
        <f t="shared" si="54"/>
        <v>10</v>
      </c>
      <c r="N183" s="72">
        <f t="shared" si="54"/>
        <v>11</v>
      </c>
      <c r="O183" s="72">
        <f t="shared" si="54"/>
        <v>12</v>
      </c>
      <c r="P183" s="72">
        <f t="shared" si="54"/>
        <v>13</v>
      </c>
      <c r="Q183" s="72">
        <f t="shared" si="54"/>
        <v>14</v>
      </c>
      <c r="R183" s="72">
        <f t="shared" si="54"/>
        <v>15</v>
      </c>
      <c r="S183" s="72">
        <f t="shared" si="54"/>
        <v>16</v>
      </c>
      <c r="T183" s="72">
        <f t="shared" si="54"/>
        <v>17</v>
      </c>
      <c r="U183" s="72">
        <f t="shared" si="54"/>
        <v>18</v>
      </c>
      <c r="V183" s="72">
        <f t="shared" si="54"/>
        <v>19</v>
      </c>
      <c r="W183" s="72">
        <f t="shared" si="54"/>
        <v>20</v>
      </c>
      <c r="X183" s="72">
        <f t="shared" si="54"/>
        <v>21</v>
      </c>
      <c r="Y183" s="72">
        <f t="shared" si="54"/>
        <v>22</v>
      </c>
      <c r="Z183" s="72">
        <f t="shared" si="54"/>
        <v>23</v>
      </c>
      <c r="AA183" s="72">
        <f t="shared" si="54"/>
        <v>24</v>
      </c>
      <c r="AB183" s="72">
        <f t="shared" si="54"/>
        <v>25</v>
      </c>
      <c r="AC183" s="72">
        <f t="shared" si="54"/>
        <v>26</v>
      </c>
      <c r="AD183" s="72">
        <f t="shared" si="54"/>
        <v>27</v>
      </c>
      <c r="AE183" s="72">
        <f t="shared" si="54"/>
        <v>28</v>
      </c>
      <c r="AF183" s="72">
        <f t="shared" si="54"/>
        <v>29</v>
      </c>
      <c r="AG183" s="72">
        <f t="shared" si="54"/>
        <v>30</v>
      </c>
    </row>
    <row r="184" spans="1:37">
      <c r="B184" s="347"/>
      <c r="C184" s="347"/>
      <c r="D184" s="73">
        <f t="shared" si="53"/>
        <v>46023</v>
      </c>
      <c r="E184" s="73">
        <f t="shared" si="53"/>
        <v>46113</v>
      </c>
      <c r="F184" s="73">
        <f t="shared" si="53"/>
        <v>46204</v>
      </c>
      <c r="G184" s="73">
        <f t="shared" si="53"/>
        <v>46296</v>
      </c>
      <c r="H184" s="73">
        <f t="shared" si="53"/>
        <v>46388</v>
      </c>
      <c r="I184" s="73">
        <f t="shared" ref="I184:AG184" si="55">I155</f>
        <v>46478</v>
      </c>
      <c r="J184" s="73">
        <f t="shared" si="55"/>
        <v>46569</v>
      </c>
      <c r="K184" s="73">
        <f t="shared" si="55"/>
        <v>46661</v>
      </c>
      <c r="L184" s="73">
        <f t="shared" si="55"/>
        <v>46753</v>
      </c>
      <c r="M184" s="73">
        <f t="shared" si="55"/>
        <v>46844</v>
      </c>
      <c r="N184" s="73">
        <f t="shared" si="55"/>
        <v>46935</v>
      </c>
      <c r="O184" s="73">
        <f t="shared" si="55"/>
        <v>47027</v>
      </c>
      <c r="P184" s="73">
        <f t="shared" si="55"/>
        <v>47119</v>
      </c>
      <c r="Q184" s="73">
        <f t="shared" si="55"/>
        <v>47209</v>
      </c>
      <c r="R184" s="73">
        <f t="shared" si="55"/>
        <v>47300</v>
      </c>
      <c r="S184" s="73">
        <f t="shared" si="55"/>
        <v>47392</v>
      </c>
      <c r="T184" s="73">
        <f t="shared" si="55"/>
        <v>47484</v>
      </c>
      <c r="U184" s="73">
        <f t="shared" si="55"/>
        <v>47574</v>
      </c>
      <c r="V184" s="73">
        <f t="shared" si="55"/>
        <v>47665</v>
      </c>
      <c r="W184" s="73">
        <f t="shared" si="55"/>
        <v>47757</v>
      </c>
      <c r="X184" s="73">
        <f t="shared" si="55"/>
        <v>47849</v>
      </c>
      <c r="Y184" s="73">
        <f t="shared" si="55"/>
        <v>47939</v>
      </c>
      <c r="Z184" s="73">
        <f t="shared" si="55"/>
        <v>48030</v>
      </c>
      <c r="AA184" s="73">
        <f t="shared" si="55"/>
        <v>48122</v>
      </c>
      <c r="AB184" s="73">
        <f t="shared" si="55"/>
        <v>48214</v>
      </c>
      <c r="AC184" s="73">
        <f t="shared" si="55"/>
        <v>48305</v>
      </c>
      <c r="AD184" s="73">
        <f t="shared" si="55"/>
        <v>48396</v>
      </c>
      <c r="AE184" s="73">
        <f t="shared" si="55"/>
        <v>48488</v>
      </c>
      <c r="AF184" s="73">
        <f t="shared" si="55"/>
        <v>48580</v>
      </c>
      <c r="AG184" s="73">
        <f t="shared" si="55"/>
        <v>48670</v>
      </c>
    </row>
    <row r="185" spans="1:37">
      <c r="B185" s="347"/>
      <c r="C185" s="347"/>
      <c r="D185" s="73">
        <f t="shared" si="53"/>
        <v>46112</v>
      </c>
      <c r="E185" s="73">
        <f t="shared" si="53"/>
        <v>46203</v>
      </c>
      <c r="F185" s="73">
        <f t="shared" si="53"/>
        <v>46295</v>
      </c>
      <c r="G185" s="73">
        <f t="shared" si="53"/>
        <v>46387</v>
      </c>
      <c r="H185" s="73">
        <f t="shared" si="53"/>
        <v>46477</v>
      </c>
      <c r="I185" s="73">
        <f t="shared" ref="I185:AG185" si="56">I156</f>
        <v>46568</v>
      </c>
      <c r="J185" s="73">
        <f t="shared" si="56"/>
        <v>46660</v>
      </c>
      <c r="K185" s="73">
        <f t="shared" si="56"/>
        <v>46752</v>
      </c>
      <c r="L185" s="73">
        <f t="shared" si="56"/>
        <v>46843</v>
      </c>
      <c r="M185" s="73">
        <f t="shared" si="56"/>
        <v>46934</v>
      </c>
      <c r="N185" s="73">
        <f t="shared" si="56"/>
        <v>47026</v>
      </c>
      <c r="O185" s="73">
        <f t="shared" si="56"/>
        <v>47118</v>
      </c>
      <c r="P185" s="73">
        <f t="shared" si="56"/>
        <v>47208</v>
      </c>
      <c r="Q185" s="73">
        <f t="shared" si="56"/>
        <v>47299</v>
      </c>
      <c r="R185" s="73">
        <f t="shared" si="56"/>
        <v>47391</v>
      </c>
      <c r="S185" s="73">
        <f t="shared" si="56"/>
        <v>47483</v>
      </c>
      <c r="T185" s="73">
        <f t="shared" si="56"/>
        <v>47573</v>
      </c>
      <c r="U185" s="73">
        <f t="shared" si="56"/>
        <v>47664</v>
      </c>
      <c r="V185" s="73">
        <f t="shared" si="56"/>
        <v>47756</v>
      </c>
      <c r="W185" s="73">
        <f t="shared" si="56"/>
        <v>47848</v>
      </c>
      <c r="X185" s="73">
        <f t="shared" si="56"/>
        <v>47938</v>
      </c>
      <c r="Y185" s="73">
        <f t="shared" si="56"/>
        <v>48029</v>
      </c>
      <c r="Z185" s="73">
        <f t="shared" si="56"/>
        <v>48121</v>
      </c>
      <c r="AA185" s="73">
        <f t="shared" si="56"/>
        <v>48213</v>
      </c>
      <c r="AB185" s="73">
        <f t="shared" si="56"/>
        <v>48304</v>
      </c>
      <c r="AC185" s="73">
        <f t="shared" si="56"/>
        <v>48395</v>
      </c>
      <c r="AD185" s="73">
        <f t="shared" si="56"/>
        <v>48487</v>
      </c>
      <c r="AE185" s="73">
        <f t="shared" si="56"/>
        <v>48579</v>
      </c>
      <c r="AF185" s="73">
        <f t="shared" si="56"/>
        <v>48669</v>
      </c>
      <c r="AG185" s="73">
        <f t="shared" si="56"/>
        <v>48760</v>
      </c>
    </row>
    <row r="186" spans="1:37">
      <c r="B186" s="347"/>
      <c r="C186" s="347"/>
      <c r="D186" s="73" t="str">
        <f t="shared" si="53"/>
        <v>1 кв 2026</v>
      </c>
      <c r="E186" s="73" t="str">
        <f t="shared" si="53"/>
        <v>2 кв 2026</v>
      </c>
      <c r="F186" s="73" t="str">
        <f t="shared" si="53"/>
        <v>3 кв 2026</v>
      </c>
      <c r="G186" s="73" t="str">
        <f t="shared" si="53"/>
        <v>4 кв 2026</v>
      </c>
      <c r="H186" s="73" t="str">
        <f t="shared" si="53"/>
        <v>1 кв 2027</v>
      </c>
      <c r="I186" s="73" t="str">
        <f t="shared" ref="I186:AG186" si="57">I157</f>
        <v>2 кв 2027</v>
      </c>
      <c r="J186" s="73" t="str">
        <f t="shared" si="57"/>
        <v>3 кв 2027</v>
      </c>
      <c r="K186" s="73" t="str">
        <f t="shared" si="57"/>
        <v>4 кв 2027</v>
      </c>
      <c r="L186" s="73" t="str">
        <f t="shared" si="57"/>
        <v>1 кв 2028</v>
      </c>
      <c r="M186" s="73" t="str">
        <f t="shared" si="57"/>
        <v>2 кв 2028</v>
      </c>
      <c r="N186" s="73" t="str">
        <f t="shared" si="57"/>
        <v>3 кв 2028</v>
      </c>
      <c r="O186" s="73" t="str">
        <f t="shared" si="57"/>
        <v>4 кв 2028</v>
      </c>
      <c r="P186" s="73" t="str">
        <f t="shared" si="57"/>
        <v>1 кв 2029</v>
      </c>
      <c r="Q186" s="73" t="str">
        <f t="shared" si="57"/>
        <v>2 кв 2029</v>
      </c>
      <c r="R186" s="73" t="str">
        <f t="shared" si="57"/>
        <v>3 кв 2029</v>
      </c>
      <c r="S186" s="73" t="str">
        <f t="shared" si="57"/>
        <v>4 кв 2029</v>
      </c>
      <c r="T186" s="73" t="str">
        <f t="shared" si="57"/>
        <v>1 кв 2030</v>
      </c>
      <c r="U186" s="73" t="str">
        <f t="shared" si="57"/>
        <v>2 кв 2030</v>
      </c>
      <c r="V186" s="73" t="str">
        <f t="shared" si="57"/>
        <v>3 кв 2030</v>
      </c>
      <c r="W186" s="73" t="str">
        <f t="shared" si="57"/>
        <v>4 кв 2030</v>
      </c>
      <c r="X186" s="73" t="str">
        <f t="shared" si="57"/>
        <v>1 кв 2031</v>
      </c>
      <c r="Y186" s="73" t="str">
        <f t="shared" si="57"/>
        <v>2 кв 2031</v>
      </c>
      <c r="Z186" s="73" t="str">
        <f t="shared" si="57"/>
        <v>3 кв 2031</v>
      </c>
      <c r="AA186" s="73" t="str">
        <f t="shared" si="57"/>
        <v>4 кв 2031</v>
      </c>
      <c r="AB186" s="73" t="str">
        <f t="shared" si="57"/>
        <v>1 кв 2032</v>
      </c>
      <c r="AC186" s="73" t="str">
        <f t="shared" si="57"/>
        <v>2 кв 2032</v>
      </c>
      <c r="AD186" s="73" t="str">
        <f t="shared" si="57"/>
        <v>3 кв 2032</v>
      </c>
      <c r="AE186" s="73" t="str">
        <f t="shared" si="57"/>
        <v>4 кв 2032</v>
      </c>
      <c r="AF186" s="73" t="str">
        <f t="shared" si="57"/>
        <v>1 кв 2033</v>
      </c>
      <c r="AG186" s="73" t="str">
        <f t="shared" si="57"/>
        <v>2 кв 2033</v>
      </c>
    </row>
    <row r="187" spans="1:37">
      <c r="B187" s="85" t="str">
        <f>IF(B132=0,"-",B132)</f>
        <v>Продукт 1</v>
      </c>
      <c r="C187" s="69" t="str">
        <f>IF(C132=0,"-",C132)</f>
        <v>тыс.руб.</v>
      </c>
      <c r="D187" s="295">
        <f>ROUND(D132*D161*(1-$A161),2)+ROUND(D132/(1+$E106)*D161*$A161,2)</f>
        <v>0</v>
      </c>
      <c r="E187" s="295">
        <f t="shared" ref="E187" si="58">ROUND(E132*E161*(1-$A161),2)+ROUND(E132/(1+$E106)*E161*$A161,2)</f>
        <v>0</v>
      </c>
      <c r="F187" s="295">
        <f t="shared" ref="F187:F206" si="59">ROUND(F132*F161*(1-$A161),2)+ROUND(F132/(1+$E106)*F161*$A161,2)</f>
        <v>0</v>
      </c>
      <c r="G187" s="295">
        <f t="shared" ref="G187:AG187" si="60">ROUND(G132*G161*(1-$A161),2)+ROUND(G132/(1+$E106)*G161*$A161,2)</f>
        <v>0</v>
      </c>
      <c r="H187" s="295">
        <f t="shared" si="60"/>
        <v>0</v>
      </c>
      <c r="I187" s="295">
        <f t="shared" si="60"/>
        <v>0</v>
      </c>
      <c r="J187" s="295">
        <f t="shared" si="60"/>
        <v>0</v>
      </c>
      <c r="K187" s="295">
        <f t="shared" si="60"/>
        <v>0</v>
      </c>
      <c r="L187" s="295">
        <f t="shared" si="60"/>
        <v>0</v>
      </c>
      <c r="M187" s="295">
        <f t="shared" si="60"/>
        <v>0</v>
      </c>
      <c r="N187" s="295">
        <f t="shared" si="60"/>
        <v>0</v>
      </c>
      <c r="O187" s="295">
        <f t="shared" si="60"/>
        <v>0</v>
      </c>
      <c r="P187" s="295">
        <f t="shared" si="60"/>
        <v>0</v>
      </c>
      <c r="Q187" s="295">
        <f t="shared" si="60"/>
        <v>0</v>
      </c>
      <c r="R187" s="295">
        <f t="shared" si="60"/>
        <v>0</v>
      </c>
      <c r="S187" s="295">
        <f t="shared" si="60"/>
        <v>0</v>
      </c>
      <c r="T187" s="295">
        <f t="shared" si="60"/>
        <v>0</v>
      </c>
      <c r="U187" s="295">
        <f t="shared" si="60"/>
        <v>0</v>
      </c>
      <c r="V187" s="295">
        <f t="shared" si="60"/>
        <v>0</v>
      </c>
      <c r="W187" s="295">
        <f t="shared" si="60"/>
        <v>0</v>
      </c>
      <c r="X187" s="295">
        <f t="shared" si="60"/>
        <v>0</v>
      </c>
      <c r="Y187" s="295">
        <f t="shared" si="60"/>
        <v>0</v>
      </c>
      <c r="Z187" s="295">
        <f t="shared" si="60"/>
        <v>0</v>
      </c>
      <c r="AA187" s="295">
        <f t="shared" si="60"/>
        <v>0</v>
      </c>
      <c r="AB187" s="295">
        <f t="shared" si="60"/>
        <v>0</v>
      </c>
      <c r="AC187" s="295">
        <f t="shared" si="60"/>
        <v>0</v>
      </c>
      <c r="AD187" s="295">
        <f t="shared" si="60"/>
        <v>0</v>
      </c>
      <c r="AE187" s="295">
        <f t="shared" si="60"/>
        <v>0</v>
      </c>
      <c r="AF187" s="295">
        <f t="shared" si="60"/>
        <v>0</v>
      </c>
      <c r="AG187" s="295">
        <f t="shared" si="60"/>
        <v>0</v>
      </c>
    </row>
    <row r="188" spans="1:37" outlineLevel="1">
      <c r="B188" s="85" t="str">
        <f t="shared" ref="B188:C188" si="61">IF(B133=0,"-",B133)</f>
        <v>Продукт 2</v>
      </c>
      <c r="C188" s="69" t="str">
        <f t="shared" si="61"/>
        <v>тыс.руб.</v>
      </c>
      <c r="D188" s="295">
        <f t="shared" ref="D188:E188" si="62">ROUND(D133*D162*(1-$A162),2)+ROUND(D133/(1+$E107)*D162*$A162,2)</f>
        <v>0</v>
      </c>
      <c r="E188" s="295">
        <f t="shared" si="62"/>
        <v>0</v>
      </c>
      <c r="F188" s="295">
        <f t="shared" si="59"/>
        <v>0</v>
      </c>
      <c r="G188" s="295">
        <f t="shared" ref="G188:AG188" si="63">ROUND(G133*G162*(1-$A162),2)+ROUND(G133/(1+$E107)*G162*$A162,2)</f>
        <v>0</v>
      </c>
      <c r="H188" s="295">
        <f t="shared" si="63"/>
        <v>0</v>
      </c>
      <c r="I188" s="295">
        <f t="shared" si="63"/>
        <v>0</v>
      </c>
      <c r="J188" s="295">
        <f t="shared" si="63"/>
        <v>0</v>
      </c>
      <c r="K188" s="295">
        <f t="shared" si="63"/>
        <v>0</v>
      </c>
      <c r="L188" s="295">
        <f t="shared" si="63"/>
        <v>0</v>
      </c>
      <c r="M188" s="295">
        <f t="shared" si="63"/>
        <v>0</v>
      </c>
      <c r="N188" s="295">
        <f t="shared" si="63"/>
        <v>0</v>
      </c>
      <c r="O188" s="295">
        <f t="shared" si="63"/>
        <v>0</v>
      </c>
      <c r="P188" s="295">
        <f t="shared" si="63"/>
        <v>0</v>
      </c>
      <c r="Q188" s="295">
        <f t="shared" si="63"/>
        <v>0</v>
      </c>
      <c r="R188" s="295">
        <f t="shared" si="63"/>
        <v>0</v>
      </c>
      <c r="S188" s="295">
        <f t="shared" si="63"/>
        <v>0</v>
      </c>
      <c r="T188" s="295">
        <f t="shared" si="63"/>
        <v>0</v>
      </c>
      <c r="U188" s="295">
        <f t="shared" si="63"/>
        <v>0</v>
      </c>
      <c r="V188" s="295">
        <f t="shared" si="63"/>
        <v>0</v>
      </c>
      <c r="W188" s="295">
        <f t="shared" si="63"/>
        <v>0</v>
      </c>
      <c r="X188" s="295">
        <f t="shared" si="63"/>
        <v>0</v>
      </c>
      <c r="Y188" s="295">
        <f t="shared" si="63"/>
        <v>0</v>
      </c>
      <c r="Z188" s="295">
        <f t="shared" si="63"/>
        <v>0</v>
      </c>
      <c r="AA188" s="295">
        <f t="shared" si="63"/>
        <v>0</v>
      </c>
      <c r="AB188" s="295">
        <f t="shared" si="63"/>
        <v>0</v>
      </c>
      <c r="AC188" s="295">
        <f t="shared" si="63"/>
        <v>0</v>
      </c>
      <c r="AD188" s="295">
        <f t="shared" si="63"/>
        <v>0</v>
      </c>
      <c r="AE188" s="295">
        <f t="shared" si="63"/>
        <v>0</v>
      </c>
      <c r="AF188" s="295">
        <f t="shared" si="63"/>
        <v>0</v>
      </c>
      <c r="AG188" s="295">
        <f t="shared" si="63"/>
        <v>0</v>
      </c>
    </row>
    <row r="189" spans="1:37" outlineLevel="1">
      <c r="B189" s="85" t="str">
        <f t="shared" ref="B189:C189" si="64">IF(B134=0,"-",B134)</f>
        <v>Продукт 3</v>
      </c>
      <c r="C189" s="69" t="str">
        <f t="shared" si="64"/>
        <v>тыс.руб.</v>
      </c>
      <c r="D189" s="295">
        <f t="shared" ref="D189:E189" si="65">ROUND(D134*D163*(1-$A163),2)+ROUND(D134/(1+$E108)*D163*$A163,2)</f>
        <v>0</v>
      </c>
      <c r="E189" s="295">
        <f t="shared" si="65"/>
        <v>0</v>
      </c>
      <c r="F189" s="295">
        <f t="shared" si="59"/>
        <v>0</v>
      </c>
      <c r="G189" s="295">
        <f t="shared" ref="G189:AG189" si="66">ROUND(G134*G163*(1-$A163),2)+ROUND(G134/(1+$E108)*G163*$A163,2)</f>
        <v>0</v>
      </c>
      <c r="H189" s="295">
        <f t="shared" si="66"/>
        <v>0</v>
      </c>
      <c r="I189" s="295">
        <f t="shared" si="66"/>
        <v>0</v>
      </c>
      <c r="J189" s="295">
        <f t="shared" si="66"/>
        <v>0</v>
      </c>
      <c r="K189" s="295">
        <f t="shared" si="66"/>
        <v>0</v>
      </c>
      <c r="L189" s="295">
        <f t="shared" si="66"/>
        <v>0</v>
      </c>
      <c r="M189" s="295">
        <f t="shared" si="66"/>
        <v>0</v>
      </c>
      <c r="N189" s="295">
        <f t="shared" si="66"/>
        <v>0</v>
      </c>
      <c r="O189" s="295">
        <f t="shared" si="66"/>
        <v>0</v>
      </c>
      <c r="P189" s="295">
        <f t="shared" si="66"/>
        <v>0</v>
      </c>
      <c r="Q189" s="295">
        <f t="shared" si="66"/>
        <v>0</v>
      </c>
      <c r="R189" s="295">
        <f t="shared" si="66"/>
        <v>0</v>
      </c>
      <c r="S189" s="295">
        <f t="shared" si="66"/>
        <v>0</v>
      </c>
      <c r="T189" s="295">
        <f t="shared" si="66"/>
        <v>0</v>
      </c>
      <c r="U189" s="295">
        <f t="shared" si="66"/>
        <v>0</v>
      </c>
      <c r="V189" s="295">
        <f t="shared" si="66"/>
        <v>0</v>
      </c>
      <c r="W189" s="295">
        <f t="shared" si="66"/>
        <v>0</v>
      </c>
      <c r="X189" s="295">
        <f t="shared" si="66"/>
        <v>0</v>
      </c>
      <c r="Y189" s="295">
        <f t="shared" si="66"/>
        <v>0</v>
      </c>
      <c r="Z189" s="295">
        <f t="shared" si="66"/>
        <v>0</v>
      </c>
      <c r="AA189" s="295">
        <f t="shared" si="66"/>
        <v>0</v>
      </c>
      <c r="AB189" s="295">
        <f t="shared" si="66"/>
        <v>0</v>
      </c>
      <c r="AC189" s="295">
        <f t="shared" si="66"/>
        <v>0</v>
      </c>
      <c r="AD189" s="295">
        <f t="shared" si="66"/>
        <v>0</v>
      </c>
      <c r="AE189" s="295">
        <f t="shared" si="66"/>
        <v>0</v>
      </c>
      <c r="AF189" s="295">
        <f t="shared" si="66"/>
        <v>0</v>
      </c>
      <c r="AG189" s="295">
        <f t="shared" si="66"/>
        <v>0</v>
      </c>
    </row>
    <row r="190" spans="1:37" outlineLevel="1">
      <c r="B190" s="85" t="str">
        <f t="shared" ref="B190:C190" si="67">IF(B135=0,"-",B135)</f>
        <v>Продукт 4</v>
      </c>
      <c r="C190" s="69" t="str">
        <f t="shared" si="67"/>
        <v>тыс.руб.</v>
      </c>
      <c r="D190" s="295">
        <f t="shared" ref="D190:E190" si="68">ROUND(D135*D164*(1-$A164),2)+ROUND(D135/(1+$E109)*D164*$A164,2)</f>
        <v>0</v>
      </c>
      <c r="E190" s="295">
        <f t="shared" si="68"/>
        <v>0</v>
      </c>
      <c r="F190" s="295">
        <f t="shared" si="59"/>
        <v>0</v>
      </c>
      <c r="G190" s="295">
        <f t="shared" ref="G190:AG190" si="69">ROUND(G135*G164*(1-$A164),2)+ROUND(G135/(1+$E109)*G164*$A164,2)</f>
        <v>0</v>
      </c>
      <c r="H190" s="295">
        <f t="shared" si="69"/>
        <v>0</v>
      </c>
      <c r="I190" s="295">
        <f t="shared" si="69"/>
        <v>0</v>
      </c>
      <c r="J190" s="295">
        <f t="shared" si="69"/>
        <v>0</v>
      </c>
      <c r="K190" s="295">
        <f t="shared" si="69"/>
        <v>0</v>
      </c>
      <c r="L190" s="295">
        <f t="shared" si="69"/>
        <v>0</v>
      </c>
      <c r="M190" s="295">
        <f t="shared" si="69"/>
        <v>0</v>
      </c>
      <c r="N190" s="295">
        <f t="shared" si="69"/>
        <v>0</v>
      </c>
      <c r="O190" s="295">
        <f t="shared" si="69"/>
        <v>0</v>
      </c>
      <c r="P190" s="295">
        <f t="shared" si="69"/>
        <v>0</v>
      </c>
      <c r="Q190" s="295">
        <f t="shared" si="69"/>
        <v>0</v>
      </c>
      <c r="R190" s="295">
        <f t="shared" si="69"/>
        <v>0</v>
      </c>
      <c r="S190" s="295">
        <f t="shared" si="69"/>
        <v>0</v>
      </c>
      <c r="T190" s="295">
        <f t="shared" si="69"/>
        <v>0</v>
      </c>
      <c r="U190" s="295">
        <f t="shared" si="69"/>
        <v>0</v>
      </c>
      <c r="V190" s="295">
        <f t="shared" si="69"/>
        <v>0</v>
      </c>
      <c r="W190" s="295">
        <f t="shared" si="69"/>
        <v>0</v>
      </c>
      <c r="X190" s="295">
        <f t="shared" si="69"/>
        <v>0</v>
      </c>
      <c r="Y190" s="295">
        <f t="shared" si="69"/>
        <v>0</v>
      </c>
      <c r="Z190" s="295">
        <f t="shared" si="69"/>
        <v>0</v>
      </c>
      <c r="AA190" s="295">
        <f t="shared" si="69"/>
        <v>0</v>
      </c>
      <c r="AB190" s="295">
        <f t="shared" si="69"/>
        <v>0</v>
      </c>
      <c r="AC190" s="295">
        <f t="shared" si="69"/>
        <v>0</v>
      </c>
      <c r="AD190" s="295">
        <f t="shared" si="69"/>
        <v>0</v>
      </c>
      <c r="AE190" s="295">
        <f t="shared" si="69"/>
        <v>0</v>
      </c>
      <c r="AF190" s="295">
        <f t="shared" si="69"/>
        <v>0</v>
      </c>
      <c r="AG190" s="295">
        <f t="shared" si="69"/>
        <v>0</v>
      </c>
    </row>
    <row r="191" spans="1:37" outlineLevel="1">
      <c r="B191" s="85" t="str">
        <f t="shared" ref="B191:C191" si="70">IF(B136=0,"-",B136)</f>
        <v>Продукт 5</v>
      </c>
      <c r="C191" s="69" t="str">
        <f t="shared" si="70"/>
        <v>тыс.руб.</v>
      </c>
      <c r="D191" s="295">
        <f t="shared" ref="D191:E191" si="71">ROUND(D136*D165*(1-$A165),2)+ROUND(D136/(1+$E110)*D165*$A165,2)</f>
        <v>0</v>
      </c>
      <c r="E191" s="295">
        <f t="shared" si="71"/>
        <v>0</v>
      </c>
      <c r="F191" s="295">
        <f t="shared" si="59"/>
        <v>0</v>
      </c>
      <c r="G191" s="295">
        <f t="shared" ref="G191:AG191" si="72">ROUND(G136*G165*(1-$A165),2)+ROUND(G136/(1+$E110)*G165*$A165,2)</f>
        <v>0</v>
      </c>
      <c r="H191" s="295">
        <f t="shared" si="72"/>
        <v>0</v>
      </c>
      <c r="I191" s="295">
        <f t="shared" si="72"/>
        <v>0</v>
      </c>
      <c r="J191" s="295">
        <f t="shared" si="72"/>
        <v>0</v>
      </c>
      <c r="K191" s="295">
        <f t="shared" si="72"/>
        <v>0</v>
      </c>
      <c r="L191" s="295">
        <f t="shared" si="72"/>
        <v>0</v>
      </c>
      <c r="M191" s="295">
        <f t="shared" si="72"/>
        <v>0</v>
      </c>
      <c r="N191" s="295">
        <f t="shared" si="72"/>
        <v>0</v>
      </c>
      <c r="O191" s="295">
        <f t="shared" si="72"/>
        <v>0</v>
      </c>
      <c r="P191" s="295">
        <f t="shared" si="72"/>
        <v>0</v>
      </c>
      <c r="Q191" s="295">
        <f t="shared" si="72"/>
        <v>0</v>
      </c>
      <c r="R191" s="295">
        <f t="shared" si="72"/>
        <v>0</v>
      </c>
      <c r="S191" s="295">
        <f t="shared" si="72"/>
        <v>0</v>
      </c>
      <c r="T191" s="295">
        <f t="shared" si="72"/>
        <v>0</v>
      </c>
      <c r="U191" s="295">
        <f t="shared" si="72"/>
        <v>0</v>
      </c>
      <c r="V191" s="295">
        <f t="shared" si="72"/>
        <v>0</v>
      </c>
      <c r="W191" s="295">
        <f t="shared" si="72"/>
        <v>0</v>
      </c>
      <c r="X191" s="295">
        <f t="shared" si="72"/>
        <v>0</v>
      </c>
      <c r="Y191" s="295">
        <f t="shared" si="72"/>
        <v>0</v>
      </c>
      <c r="Z191" s="295">
        <f t="shared" si="72"/>
        <v>0</v>
      </c>
      <c r="AA191" s="295">
        <f t="shared" si="72"/>
        <v>0</v>
      </c>
      <c r="AB191" s="295">
        <f t="shared" si="72"/>
        <v>0</v>
      </c>
      <c r="AC191" s="295">
        <f t="shared" si="72"/>
        <v>0</v>
      </c>
      <c r="AD191" s="295">
        <f t="shared" si="72"/>
        <v>0</v>
      </c>
      <c r="AE191" s="295">
        <f t="shared" si="72"/>
        <v>0</v>
      </c>
      <c r="AF191" s="295">
        <f t="shared" si="72"/>
        <v>0</v>
      </c>
      <c r="AG191" s="295">
        <f t="shared" si="72"/>
        <v>0</v>
      </c>
    </row>
    <row r="192" spans="1:37" outlineLevel="1">
      <c r="B192" s="85" t="str">
        <f t="shared" ref="B192:C192" si="73">IF(B137=0,"-",B137)</f>
        <v>Продукт 6</v>
      </c>
      <c r="C192" s="69" t="str">
        <f t="shared" si="73"/>
        <v>тыс.руб.</v>
      </c>
      <c r="D192" s="295">
        <f t="shared" ref="D192:E192" si="74">ROUND(D137*D166*(1-$A166),2)+ROUND(D137/(1+$E111)*D166*$A166,2)</f>
        <v>0</v>
      </c>
      <c r="E192" s="295">
        <f t="shared" si="74"/>
        <v>0</v>
      </c>
      <c r="F192" s="295">
        <f t="shared" si="59"/>
        <v>0</v>
      </c>
      <c r="G192" s="295">
        <f t="shared" ref="G192:AG192" si="75">ROUND(G137*G166*(1-$A166),2)+ROUND(G137/(1+$E111)*G166*$A166,2)</f>
        <v>0</v>
      </c>
      <c r="H192" s="295">
        <f t="shared" si="75"/>
        <v>0</v>
      </c>
      <c r="I192" s="295">
        <f t="shared" si="75"/>
        <v>0</v>
      </c>
      <c r="J192" s="295">
        <f t="shared" si="75"/>
        <v>0</v>
      </c>
      <c r="K192" s="295">
        <f t="shared" si="75"/>
        <v>0</v>
      </c>
      <c r="L192" s="295">
        <f t="shared" si="75"/>
        <v>0</v>
      </c>
      <c r="M192" s="295">
        <f t="shared" si="75"/>
        <v>0</v>
      </c>
      <c r="N192" s="295">
        <f t="shared" si="75"/>
        <v>0</v>
      </c>
      <c r="O192" s="295">
        <f t="shared" si="75"/>
        <v>0</v>
      </c>
      <c r="P192" s="295">
        <f t="shared" si="75"/>
        <v>0</v>
      </c>
      <c r="Q192" s="295">
        <f t="shared" si="75"/>
        <v>0</v>
      </c>
      <c r="R192" s="295">
        <f t="shared" si="75"/>
        <v>0</v>
      </c>
      <c r="S192" s="295">
        <f t="shared" si="75"/>
        <v>0</v>
      </c>
      <c r="T192" s="295">
        <f t="shared" si="75"/>
        <v>0</v>
      </c>
      <c r="U192" s="295">
        <f t="shared" si="75"/>
        <v>0</v>
      </c>
      <c r="V192" s="295">
        <f t="shared" si="75"/>
        <v>0</v>
      </c>
      <c r="W192" s="295">
        <f t="shared" si="75"/>
        <v>0</v>
      </c>
      <c r="X192" s="295">
        <f t="shared" si="75"/>
        <v>0</v>
      </c>
      <c r="Y192" s="295">
        <f t="shared" si="75"/>
        <v>0</v>
      </c>
      <c r="Z192" s="295">
        <f t="shared" si="75"/>
        <v>0</v>
      </c>
      <c r="AA192" s="295">
        <f t="shared" si="75"/>
        <v>0</v>
      </c>
      <c r="AB192" s="295">
        <f t="shared" si="75"/>
        <v>0</v>
      </c>
      <c r="AC192" s="295">
        <f t="shared" si="75"/>
        <v>0</v>
      </c>
      <c r="AD192" s="295">
        <f t="shared" si="75"/>
        <v>0</v>
      </c>
      <c r="AE192" s="295">
        <f t="shared" si="75"/>
        <v>0</v>
      </c>
      <c r="AF192" s="295">
        <f t="shared" si="75"/>
        <v>0</v>
      </c>
      <c r="AG192" s="295">
        <f t="shared" si="75"/>
        <v>0</v>
      </c>
    </row>
    <row r="193" spans="2:33" outlineLevel="1">
      <c r="B193" s="85" t="str">
        <f t="shared" ref="B193:C193" si="76">IF(B138=0,"-",B138)</f>
        <v>Продукт 7</v>
      </c>
      <c r="C193" s="69" t="str">
        <f t="shared" si="76"/>
        <v>тыс.руб.</v>
      </c>
      <c r="D193" s="295">
        <f t="shared" ref="D193:E193" si="77">ROUND(D138*D167*(1-$A167),2)+ROUND(D138/(1+$E112)*D167*$A167,2)</f>
        <v>0</v>
      </c>
      <c r="E193" s="295">
        <f t="shared" si="77"/>
        <v>0</v>
      </c>
      <c r="F193" s="295">
        <f t="shared" si="59"/>
        <v>0</v>
      </c>
      <c r="G193" s="295">
        <f t="shared" ref="G193:AG193" si="78">ROUND(G138*G167*(1-$A167),2)+ROUND(G138/(1+$E112)*G167*$A167,2)</f>
        <v>0</v>
      </c>
      <c r="H193" s="295">
        <f t="shared" si="78"/>
        <v>0</v>
      </c>
      <c r="I193" s="295">
        <f t="shared" si="78"/>
        <v>0</v>
      </c>
      <c r="J193" s="295">
        <f t="shared" si="78"/>
        <v>0</v>
      </c>
      <c r="K193" s="295">
        <f t="shared" si="78"/>
        <v>0</v>
      </c>
      <c r="L193" s="295">
        <f t="shared" si="78"/>
        <v>0</v>
      </c>
      <c r="M193" s="295">
        <f t="shared" si="78"/>
        <v>0</v>
      </c>
      <c r="N193" s="295">
        <f t="shared" si="78"/>
        <v>0</v>
      </c>
      <c r="O193" s="295">
        <f t="shared" si="78"/>
        <v>0</v>
      </c>
      <c r="P193" s="295">
        <f t="shared" si="78"/>
        <v>0</v>
      </c>
      <c r="Q193" s="295">
        <f t="shared" si="78"/>
        <v>0</v>
      </c>
      <c r="R193" s="295">
        <f t="shared" si="78"/>
        <v>0</v>
      </c>
      <c r="S193" s="295">
        <f t="shared" si="78"/>
        <v>0</v>
      </c>
      <c r="T193" s="295">
        <f t="shared" si="78"/>
        <v>0</v>
      </c>
      <c r="U193" s="295">
        <f t="shared" si="78"/>
        <v>0</v>
      </c>
      <c r="V193" s="295">
        <f t="shared" si="78"/>
        <v>0</v>
      </c>
      <c r="W193" s="295">
        <f t="shared" si="78"/>
        <v>0</v>
      </c>
      <c r="X193" s="295">
        <f t="shared" si="78"/>
        <v>0</v>
      </c>
      <c r="Y193" s="295">
        <f t="shared" si="78"/>
        <v>0</v>
      </c>
      <c r="Z193" s="295">
        <f t="shared" si="78"/>
        <v>0</v>
      </c>
      <c r="AA193" s="295">
        <f t="shared" si="78"/>
        <v>0</v>
      </c>
      <c r="AB193" s="295">
        <f t="shared" si="78"/>
        <v>0</v>
      </c>
      <c r="AC193" s="295">
        <f t="shared" si="78"/>
        <v>0</v>
      </c>
      <c r="AD193" s="295">
        <f t="shared" si="78"/>
        <v>0</v>
      </c>
      <c r="AE193" s="295">
        <f t="shared" si="78"/>
        <v>0</v>
      </c>
      <c r="AF193" s="295">
        <f t="shared" si="78"/>
        <v>0</v>
      </c>
      <c r="AG193" s="295">
        <f t="shared" si="78"/>
        <v>0</v>
      </c>
    </row>
    <row r="194" spans="2:33" outlineLevel="1">
      <c r="B194" s="85" t="str">
        <f t="shared" ref="B194:C194" si="79">IF(B139=0,"-",B139)</f>
        <v>Продукт 8</v>
      </c>
      <c r="C194" s="69" t="str">
        <f t="shared" si="79"/>
        <v>тыс.руб.</v>
      </c>
      <c r="D194" s="295">
        <f t="shared" ref="D194:E194" si="80">ROUND(D139*D168*(1-$A168),2)+ROUND(D139/(1+$E113)*D168*$A168,2)</f>
        <v>0</v>
      </c>
      <c r="E194" s="295">
        <f t="shared" si="80"/>
        <v>0</v>
      </c>
      <c r="F194" s="295">
        <f t="shared" si="59"/>
        <v>0</v>
      </c>
      <c r="G194" s="295">
        <f t="shared" ref="G194:AG194" si="81">ROUND(G139*G168*(1-$A168),2)+ROUND(G139/(1+$E113)*G168*$A168,2)</f>
        <v>0</v>
      </c>
      <c r="H194" s="295">
        <f t="shared" si="81"/>
        <v>0</v>
      </c>
      <c r="I194" s="295">
        <f t="shared" si="81"/>
        <v>0</v>
      </c>
      <c r="J194" s="295">
        <f t="shared" si="81"/>
        <v>0</v>
      </c>
      <c r="K194" s="295">
        <f t="shared" si="81"/>
        <v>0</v>
      </c>
      <c r="L194" s="295">
        <f t="shared" si="81"/>
        <v>0</v>
      </c>
      <c r="M194" s="295">
        <f t="shared" si="81"/>
        <v>0</v>
      </c>
      <c r="N194" s="295">
        <f t="shared" si="81"/>
        <v>0</v>
      </c>
      <c r="O194" s="295">
        <f t="shared" si="81"/>
        <v>0</v>
      </c>
      <c r="P194" s="295">
        <f t="shared" si="81"/>
        <v>0</v>
      </c>
      <c r="Q194" s="295">
        <f t="shared" si="81"/>
        <v>0</v>
      </c>
      <c r="R194" s="295">
        <f t="shared" si="81"/>
        <v>0</v>
      </c>
      <c r="S194" s="295">
        <f t="shared" si="81"/>
        <v>0</v>
      </c>
      <c r="T194" s="295">
        <f t="shared" si="81"/>
        <v>0</v>
      </c>
      <c r="U194" s="295">
        <f t="shared" si="81"/>
        <v>0</v>
      </c>
      <c r="V194" s="295">
        <f t="shared" si="81"/>
        <v>0</v>
      </c>
      <c r="W194" s="295">
        <f t="shared" si="81"/>
        <v>0</v>
      </c>
      <c r="X194" s="295">
        <f t="shared" si="81"/>
        <v>0</v>
      </c>
      <c r="Y194" s="295">
        <f t="shared" si="81"/>
        <v>0</v>
      </c>
      <c r="Z194" s="295">
        <f t="shared" si="81"/>
        <v>0</v>
      </c>
      <c r="AA194" s="295">
        <f t="shared" si="81"/>
        <v>0</v>
      </c>
      <c r="AB194" s="295">
        <f t="shared" si="81"/>
        <v>0</v>
      </c>
      <c r="AC194" s="295">
        <f t="shared" si="81"/>
        <v>0</v>
      </c>
      <c r="AD194" s="295">
        <f t="shared" si="81"/>
        <v>0</v>
      </c>
      <c r="AE194" s="295">
        <f t="shared" si="81"/>
        <v>0</v>
      </c>
      <c r="AF194" s="295">
        <f t="shared" si="81"/>
        <v>0</v>
      </c>
      <c r="AG194" s="295">
        <f t="shared" si="81"/>
        <v>0</v>
      </c>
    </row>
    <row r="195" spans="2:33" outlineLevel="1">
      <c r="B195" s="85" t="str">
        <f t="shared" ref="B195:C195" si="82">IF(B140=0,"-",B140)</f>
        <v>Продукт 9</v>
      </c>
      <c r="C195" s="69" t="str">
        <f t="shared" si="82"/>
        <v>тыс.руб.</v>
      </c>
      <c r="D195" s="295">
        <f t="shared" ref="D195:E195" si="83">ROUND(D140*D169*(1-$A169),2)+ROUND(D140/(1+$E114)*D169*$A169,2)</f>
        <v>0</v>
      </c>
      <c r="E195" s="295">
        <f t="shared" si="83"/>
        <v>0</v>
      </c>
      <c r="F195" s="295">
        <f t="shared" si="59"/>
        <v>0</v>
      </c>
      <c r="G195" s="295">
        <f t="shared" ref="G195:AG195" si="84">ROUND(G140*G169*(1-$A169),2)+ROUND(G140/(1+$E114)*G169*$A169,2)</f>
        <v>0</v>
      </c>
      <c r="H195" s="295">
        <f t="shared" si="84"/>
        <v>0</v>
      </c>
      <c r="I195" s="295">
        <f t="shared" si="84"/>
        <v>0</v>
      </c>
      <c r="J195" s="295">
        <f t="shared" si="84"/>
        <v>0</v>
      </c>
      <c r="K195" s="295">
        <f t="shared" si="84"/>
        <v>0</v>
      </c>
      <c r="L195" s="295">
        <f t="shared" si="84"/>
        <v>0</v>
      </c>
      <c r="M195" s="295">
        <f t="shared" si="84"/>
        <v>0</v>
      </c>
      <c r="N195" s="295">
        <f t="shared" si="84"/>
        <v>0</v>
      </c>
      <c r="O195" s="295">
        <f t="shared" si="84"/>
        <v>0</v>
      </c>
      <c r="P195" s="295">
        <f t="shared" si="84"/>
        <v>0</v>
      </c>
      <c r="Q195" s="295">
        <f t="shared" si="84"/>
        <v>0</v>
      </c>
      <c r="R195" s="295">
        <f t="shared" si="84"/>
        <v>0</v>
      </c>
      <c r="S195" s="295">
        <f t="shared" si="84"/>
        <v>0</v>
      </c>
      <c r="T195" s="295">
        <f t="shared" si="84"/>
        <v>0</v>
      </c>
      <c r="U195" s="295">
        <f t="shared" si="84"/>
        <v>0</v>
      </c>
      <c r="V195" s="295">
        <f t="shared" si="84"/>
        <v>0</v>
      </c>
      <c r="W195" s="295">
        <f t="shared" si="84"/>
        <v>0</v>
      </c>
      <c r="X195" s="295">
        <f t="shared" si="84"/>
        <v>0</v>
      </c>
      <c r="Y195" s="295">
        <f t="shared" si="84"/>
        <v>0</v>
      </c>
      <c r="Z195" s="295">
        <f t="shared" si="84"/>
        <v>0</v>
      </c>
      <c r="AA195" s="295">
        <f t="shared" si="84"/>
        <v>0</v>
      </c>
      <c r="AB195" s="295">
        <f t="shared" si="84"/>
        <v>0</v>
      </c>
      <c r="AC195" s="295">
        <f t="shared" si="84"/>
        <v>0</v>
      </c>
      <c r="AD195" s="295">
        <f t="shared" si="84"/>
        <v>0</v>
      </c>
      <c r="AE195" s="295">
        <f t="shared" si="84"/>
        <v>0</v>
      </c>
      <c r="AF195" s="295">
        <f t="shared" si="84"/>
        <v>0</v>
      </c>
      <c r="AG195" s="295">
        <f t="shared" si="84"/>
        <v>0</v>
      </c>
    </row>
    <row r="196" spans="2:33" outlineLevel="1">
      <c r="B196" s="85" t="str">
        <f t="shared" ref="B196:C196" si="85">IF(B141=0,"-",B141)</f>
        <v>Продукт 10</v>
      </c>
      <c r="C196" s="69" t="str">
        <f t="shared" si="85"/>
        <v>тыс.руб.</v>
      </c>
      <c r="D196" s="295">
        <f t="shared" ref="D196:E196" si="86">ROUND(D141*D170*(1-$A170),2)+ROUND(D141/(1+$E115)*D170*$A170,2)</f>
        <v>0</v>
      </c>
      <c r="E196" s="295">
        <f t="shared" si="86"/>
        <v>0</v>
      </c>
      <c r="F196" s="295">
        <f t="shared" si="59"/>
        <v>0</v>
      </c>
      <c r="G196" s="295">
        <f t="shared" ref="G196:AG196" si="87">ROUND(G141*G170*(1-$A170),2)+ROUND(G141/(1+$E115)*G170*$A170,2)</f>
        <v>0</v>
      </c>
      <c r="H196" s="295">
        <f t="shared" si="87"/>
        <v>0</v>
      </c>
      <c r="I196" s="295">
        <f t="shared" si="87"/>
        <v>0</v>
      </c>
      <c r="J196" s="295">
        <f t="shared" si="87"/>
        <v>0</v>
      </c>
      <c r="K196" s="295">
        <f t="shared" si="87"/>
        <v>0</v>
      </c>
      <c r="L196" s="295">
        <f t="shared" si="87"/>
        <v>0</v>
      </c>
      <c r="M196" s="295">
        <f t="shared" si="87"/>
        <v>0</v>
      </c>
      <c r="N196" s="295">
        <f t="shared" si="87"/>
        <v>0</v>
      </c>
      <c r="O196" s="295">
        <f t="shared" si="87"/>
        <v>0</v>
      </c>
      <c r="P196" s="295">
        <f t="shared" si="87"/>
        <v>0</v>
      </c>
      <c r="Q196" s="295">
        <f t="shared" si="87"/>
        <v>0</v>
      </c>
      <c r="R196" s="295">
        <f t="shared" si="87"/>
        <v>0</v>
      </c>
      <c r="S196" s="295">
        <f t="shared" si="87"/>
        <v>0</v>
      </c>
      <c r="T196" s="295">
        <f t="shared" si="87"/>
        <v>0</v>
      </c>
      <c r="U196" s="295">
        <f t="shared" si="87"/>
        <v>0</v>
      </c>
      <c r="V196" s="295">
        <f t="shared" si="87"/>
        <v>0</v>
      </c>
      <c r="W196" s="295">
        <f t="shared" si="87"/>
        <v>0</v>
      </c>
      <c r="X196" s="295">
        <f t="shared" si="87"/>
        <v>0</v>
      </c>
      <c r="Y196" s="295">
        <f t="shared" si="87"/>
        <v>0</v>
      </c>
      <c r="Z196" s="295">
        <f t="shared" si="87"/>
        <v>0</v>
      </c>
      <c r="AA196" s="295">
        <f t="shared" si="87"/>
        <v>0</v>
      </c>
      <c r="AB196" s="295">
        <f t="shared" si="87"/>
        <v>0</v>
      </c>
      <c r="AC196" s="295">
        <f t="shared" si="87"/>
        <v>0</v>
      </c>
      <c r="AD196" s="295">
        <f t="shared" si="87"/>
        <v>0</v>
      </c>
      <c r="AE196" s="295">
        <f t="shared" si="87"/>
        <v>0</v>
      </c>
      <c r="AF196" s="295">
        <f t="shared" si="87"/>
        <v>0</v>
      </c>
      <c r="AG196" s="295">
        <f t="shared" si="87"/>
        <v>0</v>
      </c>
    </row>
    <row r="197" spans="2:33" outlineLevel="1">
      <c r="B197" s="85" t="str">
        <f t="shared" ref="B197:C197" si="88">IF(B142=0,"-",B142)</f>
        <v>Продукт 11</v>
      </c>
      <c r="C197" s="69" t="str">
        <f t="shared" si="88"/>
        <v>тыс.руб.</v>
      </c>
      <c r="D197" s="295">
        <f t="shared" ref="D197:E197" si="89">ROUND(D142*D171*(1-$A171),2)+ROUND(D142/(1+$E116)*D171*$A171,2)</f>
        <v>0</v>
      </c>
      <c r="E197" s="295">
        <f t="shared" si="89"/>
        <v>0</v>
      </c>
      <c r="F197" s="295">
        <f t="shared" si="59"/>
        <v>0</v>
      </c>
      <c r="G197" s="295">
        <f t="shared" ref="G197:AG197" si="90">ROUND(G142*G171*(1-$A171),2)+ROUND(G142/(1+$E116)*G171*$A171,2)</f>
        <v>0</v>
      </c>
      <c r="H197" s="295">
        <f t="shared" si="90"/>
        <v>0</v>
      </c>
      <c r="I197" s="295">
        <f t="shared" si="90"/>
        <v>0</v>
      </c>
      <c r="J197" s="295">
        <f t="shared" si="90"/>
        <v>0</v>
      </c>
      <c r="K197" s="295">
        <f t="shared" si="90"/>
        <v>0</v>
      </c>
      <c r="L197" s="295">
        <f t="shared" si="90"/>
        <v>0</v>
      </c>
      <c r="M197" s="295">
        <f t="shared" si="90"/>
        <v>0</v>
      </c>
      <c r="N197" s="295">
        <f t="shared" si="90"/>
        <v>0</v>
      </c>
      <c r="O197" s="295">
        <f t="shared" si="90"/>
        <v>0</v>
      </c>
      <c r="P197" s="295">
        <f t="shared" si="90"/>
        <v>0</v>
      </c>
      <c r="Q197" s="295">
        <f t="shared" si="90"/>
        <v>0</v>
      </c>
      <c r="R197" s="295">
        <f t="shared" si="90"/>
        <v>0</v>
      </c>
      <c r="S197" s="295">
        <f t="shared" si="90"/>
        <v>0</v>
      </c>
      <c r="T197" s="295">
        <f t="shared" si="90"/>
        <v>0</v>
      </c>
      <c r="U197" s="295">
        <f t="shared" si="90"/>
        <v>0</v>
      </c>
      <c r="V197" s="295">
        <f t="shared" si="90"/>
        <v>0</v>
      </c>
      <c r="W197" s="295">
        <f t="shared" si="90"/>
        <v>0</v>
      </c>
      <c r="X197" s="295">
        <f t="shared" si="90"/>
        <v>0</v>
      </c>
      <c r="Y197" s="295">
        <f t="shared" si="90"/>
        <v>0</v>
      </c>
      <c r="Z197" s="295">
        <f t="shared" si="90"/>
        <v>0</v>
      </c>
      <c r="AA197" s="295">
        <f t="shared" si="90"/>
        <v>0</v>
      </c>
      <c r="AB197" s="295">
        <f t="shared" si="90"/>
        <v>0</v>
      </c>
      <c r="AC197" s="295">
        <f t="shared" si="90"/>
        <v>0</v>
      </c>
      <c r="AD197" s="295">
        <f t="shared" si="90"/>
        <v>0</v>
      </c>
      <c r="AE197" s="295">
        <f t="shared" si="90"/>
        <v>0</v>
      </c>
      <c r="AF197" s="295">
        <f t="shared" si="90"/>
        <v>0</v>
      </c>
      <c r="AG197" s="295">
        <f t="shared" si="90"/>
        <v>0</v>
      </c>
    </row>
    <row r="198" spans="2:33" outlineLevel="1">
      <c r="B198" s="85" t="str">
        <f t="shared" ref="B198:C198" si="91">IF(B143=0,"-",B143)</f>
        <v>Продукт 12</v>
      </c>
      <c r="C198" s="69" t="str">
        <f t="shared" si="91"/>
        <v>тыс.руб.</v>
      </c>
      <c r="D198" s="295">
        <f t="shared" ref="D198:E198" si="92">ROUND(D143*D172*(1-$A172),2)+ROUND(D143/(1+$E117)*D172*$A172,2)</f>
        <v>0</v>
      </c>
      <c r="E198" s="295">
        <f t="shared" si="92"/>
        <v>0</v>
      </c>
      <c r="F198" s="295">
        <f t="shared" si="59"/>
        <v>0</v>
      </c>
      <c r="G198" s="295">
        <f t="shared" ref="G198:AG198" si="93">ROUND(G143*G172*(1-$A172),2)+ROUND(G143/(1+$E117)*G172*$A172,2)</f>
        <v>0</v>
      </c>
      <c r="H198" s="295">
        <f t="shared" si="93"/>
        <v>0</v>
      </c>
      <c r="I198" s="295">
        <f t="shared" si="93"/>
        <v>0</v>
      </c>
      <c r="J198" s="295">
        <f t="shared" si="93"/>
        <v>0</v>
      </c>
      <c r="K198" s="295">
        <f t="shared" si="93"/>
        <v>0</v>
      </c>
      <c r="L198" s="295">
        <f t="shared" si="93"/>
        <v>0</v>
      </c>
      <c r="M198" s="295">
        <f t="shared" si="93"/>
        <v>0</v>
      </c>
      <c r="N198" s="295">
        <f t="shared" si="93"/>
        <v>0</v>
      </c>
      <c r="O198" s="295">
        <f t="shared" si="93"/>
        <v>0</v>
      </c>
      <c r="P198" s="295">
        <f t="shared" si="93"/>
        <v>0</v>
      </c>
      <c r="Q198" s="295">
        <f t="shared" si="93"/>
        <v>0</v>
      </c>
      <c r="R198" s="295">
        <f t="shared" si="93"/>
        <v>0</v>
      </c>
      <c r="S198" s="295">
        <f t="shared" si="93"/>
        <v>0</v>
      </c>
      <c r="T198" s="295">
        <f t="shared" si="93"/>
        <v>0</v>
      </c>
      <c r="U198" s="295">
        <f t="shared" si="93"/>
        <v>0</v>
      </c>
      <c r="V198" s="295">
        <f t="shared" si="93"/>
        <v>0</v>
      </c>
      <c r="W198" s="295">
        <f t="shared" si="93"/>
        <v>0</v>
      </c>
      <c r="X198" s="295">
        <f t="shared" si="93"/>
        <v>0</v>
      </c>
      <c r="Y198" s="295">
        <f t="shared" si="93"/>
        <v>0</v>
      </c>
      <c r="Z198" s="295">
        <f t="shared" si="93"/>
        <v>0</v>
      </c>
      <c r="AA198" s="295">
        <f t="shared" si="93"/>
        <v>0</v>
      </c>
      <c r="AB198" s="295">
        <f t="shared" si="93"/>
        <v>0</v>
      </c>
      <c r="AC198" s="295">
        <f t="shared" si="93"/>
        <v>0</v>
      </c>
      <c r="AD198" s="295">
        <f t="shared" si="93"/>
        <v>0</v>
      </c>
      <c r="AE198" s="295">
        <f t="shared" si="93"/>
        <v>0</v>
      </c>
      <c r="AF198" s="295">
        <f t="shared" si="93"/>
        <v>0</v>
      </c>
      <c r="AG198" s="295">
        <f t="shared" si="93"/>
        <v>0</v>
      </c>
    </row>
    <row r="199" spans="2:33" outlineLevel="1">
      <c r="B199" s="85" t="str">
        <f t="shared" ref="B199:C199" si="94">IF(B144=0,"-",B144)</f>
        <v>Продукт 13</v>
      </c>
      <c r="C199" s="69" t="str">
        <f t="shared" si="94"/>
        <v>тыс.руб.</v>
      </c>
      <c r="D199" s="295">
        <f t="shared" ref="D199:E199" si="95">ROUND(D144*D173*(1-$A173),2)+ROUND(D144/(1+$E118)*D173*$A173,2)</f>
        <v>0</v>
      </c>
      <c r="E199" s="295">
        <f t="shared" si="95"/>
        <v>0</v>
      </c>
      <c r="F199" s="295">
        <f t="shared" si="59"/>
        <v>0</v>
      </c>
      <c r="G199" s="295">
        <f t="shared" ref="G199:AG199" si="96">ROUND(G144*G173*(1-$A173),2)+ROUND(G144/(1+$E118)*G173*$A173,2)</f>
        <v>0</v>
      </c>
      <c r="H199" s="295">
        <f t="shared" si="96"/>
        <v>0</v>
      </c>
      <c r="I199" s="295">
        <f t="shared" si="96"/>
        <v>0</v>
      </c>
      <c r="J199" s="295">
        <f t="shared" si="96"/>
        <v>0</v>
      </c>
      <c r="K199" s="295">
        <f t="shared" si="96"/>
        <v>0</v>
      </c>
      <c r="L199" s="295">
        <f t="shared" si="96"/>
        <v>0</v>
      </c>
      <c r="M199" s="295">
        <f t="shared" si="96"/>
        <v>0</v>
      </c>
      <c r="N199" s="295">
        <f t="shared" si="96"/>
        <v>0</v>
      </c>
      <c r="O199" s="295">
        <f t="shared" si="96"/>
        <v>0</v>
      </c>
      <c r="P199" s="295">
        <f t="shared" si="96"/>
        <v>0</v>
      </c>
      <c r="Q199" s="295">
        <f t="shared" si="96"/>
        <v>0</v>
      </c>
      <c r="R199" s="295">
        <f t="shared" si="96"/>
        <v>0</v>
      </c>
      <c r="S199" s="295">
        <f t="shared" si="96"/>
        <v>0</v>
      </c>
      <c r="T199" s="295">
        <f t="shared" si="96"/>
        <v>0</v>
      </c>
      <c r="U199" s="295">
        <f t="shared" si="96"/>
        <v>0</v>
      </c>
      <c r="V199" s="295">
        <f t="shared" si="96"/>
        <v>0</v>
      </c>
      <c r="W199" s="295">
        <f t="shared" si="96"/>
        <v>0</v>
      </c>
      <c r="X199" s="295">
        <f t="shared" si="96"/>
        <v>0</v>
      </c>
      <c r="Y199" s="295">
        <f t="shared" si="96"/>
        <v>0</v>
      </c>
      <c r="Z199" s="295">
        <f t="shared" si="96"/>
        <v>0</v>
      </c>
      <c r="AA199" s="295">
        <f t="shared" si="96"/>
        <v>0</v>
      </c>
      <c r="AB199" s="295">
        <f t="shared" si="96"/>
        <v>0</v>
      </c>
      <c r="AC199" s="295">
        <f t="shared" si="96"/>
        <v>0</v>
      </c>
      <c r="AD199" s="295">
        <f t="shared" si="96"/>
        <v>0</v>
      </c>
      <c r="AE199" s="295">
        <f t="shared" si="96"/>
        <v>0</v>
      </c>
      <c r="AF199" s="295">
        <f t="shared" si="96"/>
        <v>0</v>
      </c>
      <c r="AG199" s="295">
        <f t="shared" si="96"/>
        <v>0</v>
      </c>
    </row>
    <row r="200" spans="2:33" outlineLevel="1">
      <c r="B200" s="85" t="str">
        <f t="shared" ref="B200:C200" si="97">IF(B145=0,"-",B145)</f>
        <v>Продукт 14</v>
      </c>
      <c r="C200" s="69" t="str">
        <f t="shared" si="97"/>
        <v>тыс.руб.</v>
      </c>
      <c r="D200" s="295">
        <f t="shared" ref="D200:E200" si="98">ROUND(D145*D174*(1-$A174),2)+ROUND(D145/(1+$E119)*D174*$A174,2)</f>
        <v>0</v>
      </c>
      <c r="E200" s="295">
        <f t="shared" si="98"/>
        <v>0</v>
      </c>
      <c r="F200" s="295">
        <f t="shared" si="59"/>
        <v>0</v>
      </c>
      <c r="G200" s="295">
        <f t="shared" ref="G200:AG200" si="99">ROUND(G145*G174*(1-$A174),2)+ROUND(G145/(1+$E119)*G174*$A174,2)</f>
        <v>0</v>
      </c>
      <c r="H200" s="295">
        <f t="shared" si="99"/>
        <v>0</v>
      </c>
      <c r="I200" s="295">
        <f t="shared" si="99"/>
        <v>0</v>
      </c>
      <c r="J200" s="295">
        <f t="shared" si="99"/>
        <v>0</v>
      </c>
      <c r="K200" s="295">
        <f t="shared" si="99"/>
        <v>0</v>
      </c>
      <c r="L200" s="295">
        <f t="shared" si="99"/>
        <v>0</v>
      </c>
      <c r="M200" s="295">
        <f t="shared" si="99"/>
        <v>0</v>
      </c>
      <c r="N200" s="295">
        <f t="shared" si="99"/>
        <v>0</v>
      </c>
      <c r="O200" s="295">
        <f t="shared" si="99"/>
        <v>0</v>
      </c>
      <c r="P200" s="295">
        <f t="shared" si="99"/>
        <v>0</v>
      </c>
      <c r="Q200" s="295">
        <f t="shared" si="99"/>
        <v>0</v>
      </c>
      <c r="R200" s="295">
        <f t="shared" si="99"/>
        <v>0</v>
      </c>
      <c r="S200" s="295">
        <f t="shared" si="99"/>
        <v>0</v>
      </c>
      <c r="T200" s="295">
        <f t="shared" si="99"/>
        <v>0</v>
      </c>
      <c r="U200" s="295">
        <f t="shared" si="99"/>
        <v>0</v>
      </c>
      <c r="V200" s="295">
        <f t="shared" si="99"/>
        <v>0</v>
      </c>
      <c r="W200" s="295">
        <f t="shared" si="99"/>
        <v>0</v>
      </c>
      <c r="X200" s="295">
        <f t="shared" si="99"/>
        <v>0</v>
      </c>
      <c r="Y200" s="295">
        <f t="shared" si="99"/>
        <v>0</v>
      </c>
      <c r="Z200" s="295">
        <f t="shared" si="99"/>
        <v>0</v>
      </c>
      <c r="AA200" s="295">
        <f t="shared" si="99"/>
        <v>0</v>
      </c>
      <c r="AB200" s="295">
        <f t="shared" si="99"/>
        <v>0</v>
      </c>
      <c r="AC200" s="295">
        <f t="shared" si="99"/>
        <v>0</v>
      </c>
      <c r="AD200" s="295">
        <f t="shared" si="99"/>
        <v>0</v>
      </c>
      <c r="AE200" s="295">
        <f t="shared" si="99"/>
        <v>0</v>
      </c>
      <c r="AF200" s="295">
        <f t="shared" si="99"/>
        <v>0</v>
      </c>
      <c r="AG200" s="295">
        <f t="shared" si="99"/>
        <v>0</v>
      </c>
    </row>
    <row r="201" spans="2:33" outlineLevel="1">
      <c r="B201" s="85" t="str">
        <f t="shared" ref="B201:C201" si="100">IF(B146=0,"-",B146)</f>
        <v>Продукт 15</v>
      </c>
      <c r="C201" s="69" t="str">
        <f t="shared" si="100"/>
        <v>тыс.руб.</v>
      </c>
      <c r="D201" s="295">
        <f t="shared" ref="D201:E201" si="101">ROUND(D146*D175*(1-$A175),2)+ROUND(D146/(1+$E120)*D175*$A175,2)</f>
        <v>0</v>
      </c>
      <c r="E201" s="295">
        <f t="shared" si="101"/>
        <v>0</v>
      </c>
      <c r="F201" s="295">
        <f t="shared" si="59"/>
        <v>0</v>
      </c>
      <c r="G201" s="295">
        <f t="shared" ref="G201:AG201" si="102">ROUND(G146*G175*(1-$A175),2)+ROUND(G146/(1+$E120)*G175*$A175,2)</f>
        <v>0</v>
      </c>
      <c r="H201" s="295">
        <f t="shared" si="102"/>
        <v>0</v>
      </c>
      <c r="I201" s="295">
        <f t="shared" si="102"/>
        <v>0</v>
      </c>
      <c r="J201" s="295">
        <f t="shared" si="102"/>
        <v>0</v>
      </c>
      <c r="K201" s="295">
        <f t="shared" si="102"/>
        <v>0</v>
      </c>
      <c r="L201" s="295">
        <f t="shared" si="102"/>
        <v>0</v>
      </c>
      <c r="M201" s="295">
        <f t="shared" si="102"/>
        <v>0</v>
      </c>
      <c r="N201" s="295">
        <f t="shared" si="102"/>
        <v>0</v>
      </c>
      <c r="O201" s="295">
        <f t="shared" si="102"/>
        <v>0</v>
      </c>
      <c r="P201" s="295">
        <f t="shared" si="102"/>
        <v>0</v>
      </c>
      <c r="Q201" s="295">
        <f t="shared" si="102"/>
        <v>0</v>
      </c>
      <c r="R201" s="295">
        <f t="shared" si="102"/>
        <v>0</v>
      </c>
      <c r="S201" s="295">
        <f t="shared" si="102"/>
        <v>0</v>
      </c>
      <c r="T201" s="295">
        <f t="shared" si="102"/>
        <v>0</v>
      </c>
      <c r="U201" s="295">
        <f t="shared" si="102"/>
        <v>0</v>
      </c>
      <c r="V201" s="295">
        <f t="shared" si="102"/>
        <v>0</v>
      </c>
      <c r="W201" s="295">
        <f t="shared" si="102"/>
        <v>0</v>
      </c>
      <c r="X201" s="295">
        <f t="shared" si="102"/>
        <v>0</v>
      </c>
      <c r="Y201" s="295">
        <f t="shared" si="102"/>
        <v>0</v>
      </c>
      <c r="Z201" s="295">
        <f t="shared" si="102"/>
        <v>0</v>
      </c>
      <c r="AA201" s="295">
        <f t="shared" si="102"/>
        <v>0</v>
      </c>
      <c r="AB201" s="295">
        <f t="shared" si="102"/>
        <v>0</v>
      </c>
      <c r="AC201" s="295">
        <f t="shared" si="102"/>
        <v>0</v>
      </c>
      <c r="AD201" s="295">
        <f t="shared" si="102"/>
        <v>0</v>
      </c>
      <c r="AE201" s="295">
        <f t="shared" si="102"/>
        <v>0</v>
      </c>
      <c r="AF201" s="295">
        <f t="shared" si="102"/>
        <v>0</v>
      </c>
      <c r="AG201" s="295">
        <f t="shared" si="102"/>
        <v>0</v>
      </c>
    </row>
    <row r="202" spans="2:33" outlineLevel="1">
      <c r="B202" s="85" t="str">
        <f t="shared" ref="B202:C202" si="103">IF(B147=0,"-",B147)</f>
        <v>Продукт 16</v>
      </c>
      <c r="C202" s="69" t="str">
        <f t="shared" si="103"/>
        <v>тыс.руб.</v>
      </c>
      <c r="D202" s="295">
        <f t="shared" ref="D202:E202" si="104">ROUND(D147*D176*(1-$A176),2)+ROUND(D147/(1+$E121)*D176*$A176,2)</f>
        <v>0</v>
      </c>
      <c r="E202" s="295">
        <f t="shared" si="104"/>
        <v>0</v>
      </c>
      <c r="F202" s="295">
        <f t="shared" si="59"/>
        <v>0</v>
      </c>
      <c r="G202" s="295">
        <f t="shared" ref="G202:AG202" si="105">ROUND(G147*G176*(1-$A176),2)+ROUND(G147/(1+$E121)*G176*$A176,2)</f>
        <v>0</v>
      </c>
      <c r="H202" s="295">
        <f t="shared" si="105"/>
        <v>0</v>
      </c>
      <c r="I202" s="295">
        <f t="shared" si="105"/>
        <v>0</v>
      </c>
      <c r="J202" s="295">
        <f t="shared" si="105"/>
        <v>0</v>
      </c>
      <c r="K202" s="295">
        <f t="shared" si="105"/>
        <v>0</v>
      </c>
      <c r="L202" s="295">
        <f t="shared" si="105"/>
        <v>0</v>
      </c>
      <c r="M202" s="295">
        <f t="shared" si="105"/>
        <v>0</v>
      </c>
      <c r="N202" s="295">
        <f t="shared" si="105"/>
        <v>0</v>
      </c>
      <c r="O202" s="295">
        <f t="shared" si="105"/>
        <v>0</v>
      </c>
      <c r="P202" s="295">
        <f t="shared" si="105"/>
        <v>0</v>
      </c>
      <c r="Q202" s="295">
        <f t="shared" si="105"/>
        <v>0</v>
      </c>
      <c r="R202" s="295">
        <f t="shared" si="105"/>
        <v>0</v>
      </c>
      <c r="S202" s="295">
        <f t="shared" si="105"/>
        <v>0</v>
      </c>
      <c r="T202" s="295">
        <f t="shared" si="105"/>
        <v>0</v>
      </c>
      <c r="U202" s="295">
        <f t="shared" si="105"/>
        <v>0</v>
      </c>
      <c r="V202" s="295">
        <f t="shared" si="105"/>
        <v>0</v>
      </c>
      <c r="W202" s="295">
        <f t="shared" si="105"/>
        <v>0</v>
      </c>
      <c r="X202" s="295">
        <f t="shared" si="105"/>
        <v>0</v>
      </c>
      <c r="Y202" s="295">
        <f t="shared" si="105"/>
        <v>0</v>
      </c>
      <c r="Z202" s="295">
        <f t="shared" si="105"/>
        <v>0</v>
      </c>
      <c r="AA202" s="295">
        <f t="shared" si="105"/>
        <v>0</v>
      </c>
      <c r="AB202" s="295">
        <f t="shared" si="105"/>
        <v>0</v>
      </c>
      <c r="AC202" s="295">
        <f t="shared" si="105"/>
        <v>0</v>
      </c>
      <c r="AD202" s="295">
        <f t="shared" si="105"/>
        <v>0</v>
      </c>
      <c r="AE202" s="295">
        <f t="shared" si="105"/>
        <v>0</v>
      </c>
      <c r="AF202" s="295">
        <f t="shared" si="105"/>
        <v>0</v>
      </c>
      <c r="AG202" s="295">
        <f t="shared" si="105"/>
        <v>0</v>
      </c>
    </row>
    <row r="203" spans="2:33" outlineLevel="1">
      <c r="B203" s="85" t="str">
        <f t="shared" ref="B203:C203" si="106">IF(B148=0,"-",B148)</f>
        <v>Продукт 17</v>
      </c>
      <c r="C203" s="69" t="str">
        <f t="shared" si="106"/>
        <v>тыс.руб.</v>
      </c>
      <c r="D203" s="295">
        <f t="shared" ref="D203:E203" si="107">ROUND(D148*D177*(1-$A177),2)+ROUND(D148/(1+$E122)*D177*$A177,2)</f>
        <v>0</v>
      </c>
      <c r="E203" s="295">
        <f t="shared" si="107"/>
        <v>0</v>
      </c>
      <c r="F203" s="295">
        <f t="shared" si="59"/>
        <v>0</v>
      </c>
      <c r="G203" s="295">
        <f t="shared" ref="G203:AG203" si="108">ROUND(G148*G177*(1-$A177),2)+ROUND(G148/(1+$E122)*G177*$A177,2)</f>
        <v>0</v>
      </c>
      <c r="H203" s="295">
        <f t="shared" si="108"/>
        <v>0</v>
      </c>
      <c r="I203" s="295">
        <f t="shared" si="108"/>
        <v>0</v>
      </c>
      <c r="J203" s="295">
        <f t="shared" si="108"/>
        <v>0</v>
      </c>
      <c r="K203" s="295">
        <f t="shared" si="108"/>
        <v>0</v>
      </c>
      <c r="L203" s="295">
        <f t="shared" si="108"/>
        <v>0</v>
      </c>
      <c r="M203" s="295">
        <f t="shared" si="108"/>
        <v>0</v>
      </c>
      <c r="N203" s="295">
        <f t="shared" si="108"/>
        <v>0</v>
      </c>
      <c r="O203" s="295">
        <f t="shared" si="108"/>
        <v>0</v>
      </c>
      <c r="P203" s="295">
        <f t="shared" si="108"/>
        <v>0</v>
      </c>
      <c r="Q203" s="295">
        <f t="shared" si="108"/>
        <v>0</v>
      </c>
      <c r="R203" s="295">
        <f t="shared" si="108"/>
        <v>0</v>
      </c>
      <c r="S203" s="295">
        <f t="shared" si="108"/>
        <v>0</v>
      </c>
      <c r="T203" s="295">
        <f t="shared" si="108"/>
        <v>0</v>
      </c>
      <c r="U203" s="295">
        <f t="shared" si="108"/>
        <v>0</v>
      </c>
      <c r="V203" s="295">
        <f t="shared" si="108"/>
        <v>0</v>
      </c>
      <c r="W203" s="295">
        <f t="shared" si="108"/>
        <v>0</v>
      </c>
      <c r="X203" s="295">
        <f t="shared" si="108"/>
        <v>0</v>
      </c>
      <c r="Y203" s="295">
        <f t="shared" si="108"/>
        <v>0</v>
      </c>
      <c r="Z203" s="295">
        <f t="shared" si="108"/>
        <v>0</v>
      </c>
      <c r="AA203" s="295">
        <f t="shared" si="108"/>
        <v>0</v>
      </c>
      <c r="AB203" s="295">
        <f t="shared" si="108"/>
        <v>0</v>
      </c>
      <c r="AC203" s="295">
        <f t="shared" si="108"/>
        <v>0</v>
      </c>
      <c r="AD203" s="295">
        <f t="shared" si="108"/>
        <v>0</v>
      </c>
      <c r="AE203" s="295">
        <f t="shared" si="108"/>
        <v>0</v>
      </c>
      <c r="AF203" s="295">
        <f t="shared" si="108"/>
        <v>0</v>
      </c>
      <c r="AG203" s="295">
        <f t="shared" si="108"/>
        <v>0</v>
      </c>
    </row>
    <row r="204" spans="2:33" outlineLevel="1">
      <c r="B204" s="85" t="str">
        <f t="shared" ref="B204:C204" si="109">IF(B149=0,"-",B149)</f>
        <v>Продукт 18</v>
      </c>
      <c r="C204" s="69" t="str">
        <f t="shared" si="109"/>
        <v>тыс.руб.</v>
      </c>
      <c r="D204" s="295">
        <f t="shared" ref="D204:E204" si="110">ROUND(D149*D178*(1-$A178),2)+ROUND(D149/(1+$E123)*D178*$A178,2)</f>
        <v>0</v>
      </c>
      <c r="E204" s="295">
        <f t="shared" si="110"/>
        <v>0</v>
      </c>
      <c r="F204" s="295">
        <f t="shared" si="59"/>
        <v>0</v>
      </c>
      <c r="G204" s="295">
        <f t="shared" ref="G204:AG204" si="111">ROUND(G149*G178*(1-$A178),2)+ROUND(G149/(1+$E123)*G178*$A178,2)</f>
        <v>0</v>
      </c>
      <c r="H204" s="295">
        <f t="shared" si="111"/>
        <v>0</v>
      </c>
      <c r="I204" s="295">
        <f t="shared" si="111"/>
        <v>0</v>
      </c>
      <c r="J204" s="295">
        <f t="shared" si="111"/>
        <v>0</v>
      </c>
      <c r="K204" s="295">
        <f t="shared" si="111"/>
        <v>0</v>
      </c>
      <c r="L204" s="295">
        <f t="shared" si="111"/>
        <v>0</v>
      </c>
      <c r="M204" s="295">
        <f t="shared" si="111"/>
        <v>0</v>
      </c>
      <c r="N204" s="295">
        <f t="shared" si="111"/>
        <v>0</v>
      </c>
      <c r="O204" s="295">
        <f t="shared" si="111"/>
        <v>0</v>
      </c>
      <c r="P204" s="295">
        <f t="shared" si="111"/>
        <v>0</v>
      </c>
      <c r="Q204" s="295">
        <f t="shared" si="111"/>
        <v>0</v>
      </c>
      <c r="R204" s="295">
        <f t="shared" si="111"/>
        <v>0</v>
      </c>
      <c r="S204" s="295">
        <f t="shared" si="111"/>
        <v>0</v>
      </c>
      <c r="T204" s="295">
        <f t="shared" si="111"/>
        <v>0</v>
      </c>
      <c r="U204" s="295">
        <f t="shared" si="111"/>
        <v>0</v>
      </c>
      <c r="V204" s="295">
        <f t="shared" si="111"/>
        <v>0</v>
      </c>
      <c r="W204" s="295">
        <f t="shared" si="111"/>
        <v>0</v>
      </c>
      <c r="X204" s="295">
        <f t="shared" si="111"/>
        <v>0</v>
      </c>
      <c r="Y204" s="295">
        <f t="shared" si="111"/>
        <v>0</v>
      </c>
      <c r="Z204" s="295">
        <f t="shared" si="111"/>
        <v>0</v>
      </c>
      <c r="AA204" s="295">
        <f t="shared" si="111"/>
        <v>0</v>
      </c>
      <c r="AB204" s="295">
        <f t="shared" si="111"/>
        <v>0</v>
      </c>
      <c r="AC204" s="295">
        <f t="shared" si="111"/>
        <v>0</v>
      </c>
      <c r="AD204" s="295">
        <f t="shared" si="111"/>
        <v>0</v>
      </c>
      <c r="AE204" s="295">
        <f t="shared" si="111"/>
        <v>0</v>
      </c>
      <c r="AF204" s="295">
        <f t="shared" si="111"/>
        <v>0</v>
      </c>
      <c r="AG204" s="295">
        <f t="shared" si="111"/>
        <v>0</v>
      </c>
    </row>
    <row r="205" spans="2:33" outlineLevel="1">
      <c r="B205" s="85" t="str">
        <f t="shared" ref="B205:C205" si="112">IF(B150=0,"-",B150)</f>
        <v>Продукт 19</v>
      </c>
      <c r="C205" s="69" t="str">
        <f t="shared" si="112"/>
        <v>тыс.руб.</v>
      </c>
      <c r="D205" s="295">
        <f t="shared" ref="D205:E205" si="113">ROUND(D150*D179*(1-$A179),2)+ROUND(D150/(1+$E124)*D179*$A179,2)</f>
        <v>0</v>
      </c>
      <c r="E205" s="295">
        <f t="shared" si="113"/>
        <v>0</v>
      </c>
      <c r="F205" s="295">
        <f t="shared" si="59"/>
        <v>0</v>
      </c>
      <c r="G205" s="295">
        <f t="shared" ref="G205:AG205" si="114">ROUND(G150*G179*(1-$A179),2)+ROUND(G150/(1+$E124)*G179*$A179,2)</f>
        <v>0</v>
      </c>
      <c r="H205" s="295">
        <f t="shared" si="114"/>
        <v>0</v>
      </c>
      <c r="I205" s="295">
        <f t="shared" si="114"/>
        <v>0</v>
      </c>
      <c r="J205" s="295">
        <f t="shared" si="114"/>
        <v>0</v>
      </c>
      <c r="K205" s="295">
        <f t="shared" si="114"/>
        <v>0</v>
      </c>
      <c r="L205" s="295">
        <f t="shared" si="114"/>
        <v>0</v>
      </c>
      <c r="M205" s="295">
        <f t="shared" si="114"/>
        <v>0</v>
      </c>
      <c r="N205" s="295">
        <f t="shared" si="114"/>
        <v>0</v>
      </c>
      <c r="O205" s="295">
        <f t="shared" si="114"/>
        <v>0</v>
      </c>
      <c r="P205" s="295">
        <f t="shared" si="114"/>
        <v>0</v>
      </c>
      <c r="Q205" s="295">
        <f t="shared" si="114"/>
        <v>0</v>
      </c>
      <c r="R205" s="295">
        <f t="shared" si="114"/>
        <v>0</v>
      </c>
      <c r="S205" s="295">
        <f t="shared" si="114"/>
        <v>0</v>
      </c>
      <c r="T205" s="295">
        <f t="shared" si="114"/>
        <v>0</v>
      </c>
      <c r="U205" s="295">
        <f t="shared" si="114"/>
        <v>0</v>
      </c>
      <c r="V205" s="295">
        <f t="shared" si="114"/>
        <v>0</v>
      </c>
      <c r="W205" s="295">
        <f t="shared" si="114"/>
        <v>0</v>
      </c>
      <c r="X205" s="295">
        <f t="shared" si="114"/>
        <v>0</v>
      </c>
      <c r="Y205" s="295">
        <f t="shared" si="114"/>
        <v>0</v>
      </c>
      <c r="Z205" s="295">
        <f t="shared" si="114"/>
        <v>0</v>
      </c>
      <c r="AA205" s="295">
        <f t="shared" si="114"/>
        <v>0</v>
      </c>
      <c r="AB205" s="295">
        <f t="shared" si="114"/>
        <v>0</v>
      </c>
      <c r="AC205" s="295">
        <f t="shared" si="114"/>
        <v>0</v>
      </c>
      <c r="AD205" s="295">
        <f t="shared" si="114"/>
        <v>0</v>
      </c>
      <c r="AE205" s="295">
        <f t="shared" si="114"/>
        <v>0</v>
      </c>
      <c r="AF205" s="295">
        <f t="shared" si="114"/>
        <v>0</v>
      </c>
      <c r="AG205" s="295">
        <f t="shared" si="114"/>
        <v>0</v>
      </c>
    </row>
    <row r="206" spans="2:33" outlineLevel="1">
      <c r="B206" s="85" t="str">
        <f t="shared" ref="B206:C206" si="115">IF(B151=0,"-",B151)</f>
        <v>Продукт 20</v>
      </c>
      <c r="C206" s="69" t="str">
        <f t="shared" si="115"/>
        <v>тыс.руб.</v>
      </c>
      <c r="D206" s="295">
        <f t="shared" ref="D206:E206" si="116">ROUND(D151*D180*(1-$A180),2)+ROUND(D151/(1+$E125)*D180*$A180,2)</f>
        <v>0</v>
      </c>
      <c r="E206" s="295">
        <f t="shared" si="116"/>
        <v>0</v>
      </c>
      <c r="F206" s="295">
        <f t="shared" si="59"/>
        <v>0</v>
      </c>
      <c r="G206" s="295">
        <f t="shared" ref="G206:AG206" si="117">ROUND(G151*G180*(1-$A180),2)+ROUND(G151/(1+$E125)*G180*$A180,2)</f>
        <v>0</v>
      </c>
      <c r="H206" s="295">
        <f t="shared" si="117"/>
        <v>0</v>
      </c>
      <c r="I206" s="295">
        <f t="shared" si="117"/>
        <v>0</v>
      </c>
      <c r="J206" s="295">
        <f t="shared" si="117"/>
        <v>0</v>
      </c>
      <c r="K206" s="295">
        <f t="shared" si="117"/>
        <v>0</v>
      </c>
      <c r="L206" s="295">
        <f t="shared" si="117"/>
        <v>0</v>
      </c>
      <c r="M206" s="295">
        <f t="shared" si="117"/>
        <v>0</v>
      </c>
      <c r="N206" s="295">
        <f t="shared" si="117"/>
        <v>0</v>
      </c>
      <c r="O206" s="295">
        <f t="shared" si="117"/>
        <v>0</v>
      </c>
      <c r="P206" s="295">
        <f t="shared" si="117"/>
        <v>0</v>
      </c>
      <c r="Q206" s="295">
        <f t="shared" si="117"/>
        <v>0</v>
      </c>
      <c r="R206" s="295">
        <f t="shared" si="117"/>
        <v>0</v>
      </c>
      <c r="S206" s="295">
        <f t="shared" si="117"/>
        <v>0</v>
      </c>
      <c r="T206" s="295">
        <f t="shared" si="117"/>
        <v>0</v>
      </c>
      <c r="U206" s="295">
        <f t="shared" si="117"/>
        <v>0</v>
      </c>
      <c r="V206" s="295">
        <f t="shared" si="117"/>
        <v>0</v>
      </c>
      <c r="W206" s="295">
        <f t="shared" si="117"/>
        <v>0</v>
      </c>
      <c r="X206" s="295">
        <f t="shared" si="117"/>
        <v>0</v>
      </c>
      <c r="Y206" s="295">
        <f t="shared" si="117"/>
        <v>0</v>
      </c>
      <c r="Z206" s="295">
        <f t="shared" si="117"/>
        <v>0</v>
      </c>
      <c r="AA206" s="295">
        <f t="shared" si="117"/>
        <v>0</v>
      </c>
      <c r="AB206" s="295">
        <f t="shared" si="117"/>
        <v>0</v>
      </c>
      <c r="AC206" s="295">
        <f t="shared" si="117"/>
        <v>0</v>
      </c>
      <c r="AD206" s="295">
        <f t="shared" si="117"/>
        <v>0</v>
      </c>
      <c r="AE206" s="295">
        <f t="shared" si="117"/>
        <v>0</v>
      </c>
      <c r="AF206" s="295">
        <f t="shared" si="117"/>
        <v>0</v>
      </c>
      <c r="AG206" s="295">
        <f t="shared" si="117"/>
        <v>0</v>
      </c>
    </row>
    <row r="207" spans="2:33">
      <c r="B207" s="143" t="s">
        <v>307</v>
      </c>
      <c r="C207" s="144" t="s">
        <v>93</v>
      </c>
      <c r="D207" s="304">
        <f>SUM(D187:D206)</f>
        <v>0</v>
      </c>
      <c r="E207" s="304">
        <f t="shared" ref="E207:H207" si="118">SUM(E187:E206)</f>
        <v>0</v>
      </c>
      <c r="F207" s="304">
        <f t="shared" si="118"/>
        <v>0</v>
      </c>
      <c r="G207" s="304">
        <f t="shared" si="118"/>
        <v>0</v>
      </c>
      <c r="H207" s="304">
        <f t="shared" si="118"/>
        <v>0</v>
      </c>
      <c r="I207" s="304">
        <f t="shared" ref="I207:AG207" si="119">SUM(I187:I206)</f>
        <v>0</v>
      </c>
      <c r="J207" s="304">
        <f t="shared" si="119"/>
        <v>0</v>
      </c>
      <c r="K207" s="304">
        <f t="shared" si="119"/>
        <v>0</v>
      </c>
      <c r="L207" s="304">
        <f t="shared" si="119"/>
        <v>0</v>
      </c>
      <c r="M207" s="304">
        <f t="shared" si="119"/>
        <v>0</v>
      </c>
      <c r="N207" s="304">
        <f t="shared" si="119"/>
        <v>0</v>
      </c>
      <c r="O207" s="304">
        <f t="shared" si="119"/>
        <v>0</v>
      </c>
      <c r="P207" s="304">
        <f t="shared" si="119"/>
        <v>0</v>
      </c>
      <c r="Q207" s="304">
        <f t="shared" si="119"/>
        <v>0</v>
      </c>
      <c r="R207" s="304">
        <f t="shared" si="119"/>
        <v>0</v>
      </c>
      <c r="S207" s="304">
        <f t="shared" si="119"/>
        <v>0</v>
      </c>
      <c r="T207" s="304">
        <f t="shared" si="119"/>
        <v>0</v>
      </c>
      <c r="U207" s="304">
        <f t="shared" si="119"/>
        <v>0</v>
      </c>
      <c r="V207" s="304">
        <f t="shared" si="119"/>
        <v>0</v>
      </c>
      <c r="W207" s="304">
        <f t="shared" si="119"/>
        <v>0</v>
      </c>
      <c r="X207" s="304">
        <f t="shared" si="119"/>
        <v>0</v>
      </c>
      <c r="Y207" s="304">
        <f t="shared" si="119"/>
        <v>0</v>
      </c>
      <c r="Z207" s="304">
        <f t="shared" si="119"/>
        <v>0</v>
      </c>
      <c r="AA207" s="304">
        <f t="shared" si="119"/>
        <v>0</v>
      </c>
      <c r="AB207" s="304">
        <f t="shared" si="119"/>
        <v>0</v>
      </c>
      <c r="AC207" s="304">
        <f t="shared" si="119"/>
        <v>0</v>
      </c>
      <c r="AD207" s="304">
        <f t="shared" si="119"/>
        <v>0</v>
      </c>
      <c r="AE207" s="304">
        <f t="shared" si="119"/>
        <v>0</v>
      </c>
      <c r="AF207" s="304">
        <f t="shared" si="119"/>
        <v>0</v>
      </c>
      <c r="AG207" s="304">
        <f t="shared" si="119"/>
        <v>0</v>
      </c>
    </row>
    <row r="208" spans="2:33">
      <c r="B208" s="143" t="s">
        <v>374</v>
      </c>
      <c r="C208" s="144" t="s">
        <v>93</v>
      </c>
      <c r="D208" s="304">
        <f>SUMPRODUCT(D132:D151,D161:D180)/(1+$A$209)</f>
        <v>0</v>
      </c>
      <c r="E208" s="304">
        <f t="shared" ref="E208" si="120">SUMPRODUCT(E132:E151,E161:E180)/(1+$A$209)</f>
        <v>0</v>
      </c>
      <c r="F208" s="304">
        <f>SUMPRODUCT(F132:F151,F161:F180)/(1+$A$209)</f>
        <v>0</v>
      </c>
      <c r="G208" s="304">
        <f t="shared" ref="G208:AG208" si="121">SUMPRODUCT(G132:G151,G161:G180)/(1+$A$209)</f>
        <v>0</v>
      </c>
      <c r="H208" s="304">
        <f t="shared" si="121"/>
        <v>0</v>
      </c>
      <c r="I208" s="304">
        <f t="shared" si="121"/>
        <v>0</v>
      </c>
      <c r="J208" s="304">
        <f t="shared" si="121"/>
        <v>0</v>
      </c>
      <c r="K208" s="304">
        <f t="shared" si="121"/>
        <v>0</v>
      </c>
      <c r="L208" s="304">
        <f t="shared" si="121"/>
        <v>0</v>
      </c>
      <c r="M208" s="304">
        <f t="shared" si="121"/>
        <v>0</v>
      </c>
      <c r="N208" s="304">
        <f t="shared" si="121"/>
        <v>0</v>
      </c>
      <c r="O208" s="304">
        <f t="shared" si="121"/>
        <v>0</v>
      </c>
      <c r="P208" s="304">
        <f t="shared" si="121"/>
        <v>0</v>
      </c>
      <c r="Q208" s="304">
        <f t="shared" si="121"/>
        <v>0</v>
      </c>
      <c r="R208" s="304">
        <f t="shared" si="121"/>
        <v>0</v>
      </c>
      <c r="S208" s="304">
        <f t="shared" si="121"/>
        <v>0</v>
      </c>
      <c r="T208" s="304">
        <f t="shared" si="121"/>
        <v>0</v>
      </c>
      <c r="U208" s="304">
        <f t="shared" si="121"/>
        <v>0</v>
      </c>
      <c r="V208" s="304">
        <f t="shared" si="121"/>
        <v>0</v>
      </c>
      <c r="W208" s="304">
        <f t="shared" si="121"/>
        <v>0</v>
      </c>
      <c r="X208" s="304">
        <f t="shared" si="121"/>
        <v>0</v>
      </c>
      <c r="Y208" s="304">
        <f t="shared" si="121"/>
        <v>0</v>
      </c>
      <c r="Z208" s="304">
        <f t="shared" si="121"/>
        <v>0</v>
      </c>
      <c r="AA208" s="304">
        <f t="shared" si="121"/>
        <v>0</v>
      </c>
      <c r="AB208" s="304">
        <f t="shared" si="121"/>
        <v>0</v>
      </c>
      <c r="AC208" s="304">
        <f t="shared" si="121"/>
        <v>0</v>
      </c>
      <c r="AD208" s="304">
        <f t="shared" si="121"/>
        <v>0</v>
      </c>
      <c r="AE208" s="304">
        <f t="shared" si="121"/>
        <v>0</v>
      </c>
      <c r="AF208" s="304">
        <f t="shared" si="121"/>
        <v>0</v>
      </c>
      <c r="AG208" s="304">
        <f t="shared" si="121"/>
        <v>0</v>
      </c>
    </row>
    <row r="209" spans="1:33">
      <c r="A209" s="279">
        <f>IF(ISERROR(VLOOKUP(C16,справочник!A27:D36,4,FALSE))=TRUE,0,VLOOKUP(C16,справочник!A27:D36,4,FALSE))</f>
        <v>0.22</v>
      </c>
      <c r="B209" s="143" t="s">
        <v>361</v>
      </c>
      <c r="C209" s="144" t="s">
        <v>93</v>
      </c>
      <c r="D209" s="304">
        <f>D207-D208</f>
        <v>0</v>
      </c>
      <c r="E209" s="304">
        <f t="shared" ref="E209" si="122">E207-E208</f>
        <v>0</v>
      </c>
      <c r="F209" s="304">
        <f>F207-F208</f>
        <v>0</v>
      </c>
      <c r="G209" s="304">
        <f t="shared" ref="G209:AG209" si="123">G207-G208</f>
        <v>0</v>
      </c>
      <c r="H209" s="304">
        <f t="shared" si="123"/>
        <v>0</v>
      </c>
      <c r="I209" s="304">
        <f t="shared" si="123"/>
        <v>0</v>
      </c>
      <c r="J209" s="304">
        <f t="shared" si="123"/>
        <v>0</v>
      </c>
      <c r="K209" s="304">
        <f t="shared" si="123"/>
        <v>0</v>
      </c>
      <c r="L209" s="304">
        <f t="shared" si="123"/>
        <v>0</v>
      </c>
      <c r="M209" s="304">
        <f t="shared" si="123"/>
        <v>0</v>
      </c>
      <c r="N209" s="304">
        <f t="shared" si="123"/>
        <v>0</v>
      </c>
      <c r="O209" s="304">
        <f t="shared" si="123"/>
        <v>0</v>
      </c>
      <c r="P209" s="304">
        <f t="shared" si="123"/>
        <v>0</v>
      </c>
      <c r="Q209" s="304">
        <f t="shared" si="123"/>
        <v>0</v>
      </c>
      <c r="R209" s="304">
        <f t="shared" si="123"/>
        <v>0</v>
      </c>
      <c r="S209" s="304">
        <f t="shared" si="123"/>
        <v>0</v>
      </c>
      <c r="T209" s="304">
        <f t="shared" si="123"/>
        <v>0</v>
      </c>
      <c r="U209" s="304">
        <f t="shared" si="123"/>
        <v>0</v>
      </c>
      <c r="V209" s="304">
        <f t="shared" si="123"/>
        <v>0</v>
      </c>
      <c r="W209" s="304">
        <f t="shared" si="123"/>
        <v>0</v>
      </c>
      <c r="X209" s="304">
        <f t="shared" si="123"/>
        <v>0</v>
      </c>
      <c r="Y209" s="304">
        <f t="shared" si="123"/>
        <v>0</v>
      </c>
      <c r="Z209" s="304">
        <f t="shared" si="123"/>
        <v>0</v>
      </c>
      <c r="AA209" s="304">
        <f t="shared" si="123"/>
        <v>0</v>
      </c>
      <c r="AB209" s="304">
        <f t="shared" si="123"/>
        <v>0</v>
      </c>
      <c r="AC209" s="304">
        <f t="shared" si="123"/>
        <v>0</v>
      </c>
      <c r="AD209" s="304">
        <f t="shared" si="123"/>
        <v>0</v>
      </c>
      <c r="AE209" s="304">
        <f t="shared" si="123"/>
        <v>0</v>
      </c>
      <c r="AF209" s="304">
        <f t="shared" si="123"/>
        <v>0</v>
      </c>
      <c r="AG209" s="304">
        <f t="shared" si="123"/>
        <v>0</v>
      </c>
    </row>
    <row r="211" spans="1:33" ht="25.5" customHeight="1">
      <c r="B211" s="62" t="s">
        <v>182</v>
      </c>
      <c r="C211" s="59"/>
      <c r="D211" s="59"/>
      <c r="E211" s="59"/>
      <c r="F211" s="60"/>
      <c r="G211" s="60"/>
      <c r="H211" s="60"/>
      <c r="I211" s="60"/>
      <c r="J211" s="60"/>
      <c r="K211" s="60"/>
      <c r="L211" s="60"/>
      <c r="M211" s="60"/>
      <c r="N211" s="60"/>
      <c r="O211" s="60"/>
    </row>
    <row r="212" spans="1:33" ht="42.75" customHeight="1">
      <c r="B212" s="354" t="s">
        <v>62</v>
      </c>
      <c r="C212" s="81" t="s">
        <v>171</v>
      </c>
      <c r="D212" s="305"/>
      <c r="E212" s="305" t="s">
        <v>536</v>
      </c>
      <c r="F212" s="305" t="s">
        <v>536</v>
      </c>
      <c r="G212" s="305" t="s">
        <v>536</v>
      </c>
      <c r="H212" s="305" t="s">
        <v>536</v>
      </c>
      <c r="I212" s="305" t="s">
        <v>536</v>
      </c>
      <c r="J212" s="305" t="s">
        <v>536</v>
      </c>
      <c r="K212" s="305" t="s">
        <v>536</v>
      </c>
      <c r="L212" s="354" t="s">
        <v>175</v>
      </c>
      <c r="M212" s="354" t="s">
        <v>176</v>
      </c>
    </row>
    <row r="213" spans="1:33">
      <c r="B213" s="355"/>
      <c r="C213" s="81" t="s">
        <v>172</v>
      </c>
      <c r="D213" s="305"/>
      <c r="E213" s="305"/>
      <c r="F213" s="305"/>
      <c r="G213" s="305"/>
      <c r="H213" s="305"/>
      <c r="I213" s="305"/>
      <c r="J213" s="305"/>
      <c r="K213" s="305"/>
      <c r="L213" s="355"/>
      <c r="M213" s="355"/>
    </row>
    <row r="214" spans="1:33" ht="30">
      <c r="B214" s="355"/>
      <c r="C214" s="81" t="s">
        <v>173</v>
      </c>
      <c r="D214" s="305"/>
      <c r="E214" s="305"/>
      <c r="F214" s="305"/>
      <c r="G214" s="305"/>
      <c r="H214" s="305"/>
      <c r="I214" s="305"/>
      <c r="J214" s="305"/>
      <c r="K214" s="305"/>
      <c r="L214" s="355"/>
      <c r="M214" s="355"/>
    </row>
    <row r="215" spans="1:33" ht="30" outlineLevel="1">
      <c r="B215" s="355"/>
      <c r="C215" s="81" t="s">
        <v>193</v>
      </c>
      <c r="D215" s="74">
        <f>D214/(1+D216)</f>
        <v>0</v>
      </c>
      <c r="E215" s="74">
        <f t="shared" ref="E215:H215" si="124">E214/(1+E216)</f>
        <v>0</v>
      </c>
      <c r="F215" s="74">
        <f t="shared" si="124"/>
        <v>0</v>
      </c>
      <c r="G215" s="74">
        <f t="shared" si="124"/>
        <v>0</v>
      </c>
      <c r="H215" s="74">
        <f t="shared" si="124"/>
        <v>0</v>
      </c>
      <c r="I215" s="74">
        <f>I214/(1+I216)</f>
        <v>0</v>
      </c>
      <c r="J215" s="74">
        <f>J214/(1+J216)</f>
        <v>0</v>
      </c>
      <c r="K215" s="74">
        <f>K214/(1+K216)</f>
        <v>0</v>
      </c>
      <c r="L215" s="355"/>
      <c r="M215" s="355"/>
    </row>
    <row r="216" spans="1:33" ht="30">
      <c r="B216" s="356"/>
      <c r="C216" s="80" t="s">
        <v>174</v>
      </c>
      <c r="D216" s="292">
        <v>0.22</v>
      </c>
      <c r="E216" s="292">
        <v>0.22</v>
      </c>
      <c r="F216" s="292">
        <v>0.22</v>
      </c>
      <c r="G216" s="292">
        <v>0.22</v>
      </c>
      <c r="H216" s="292">
        <v>0.22</v>
      </c>
      <c r="I216" s="292">
        <v>0.22</v>
      </c>
      <c r="J216" s="292">
        <v>0.22</v>
      </c>
      <c r="K216" s="292">
        <v>0.22</v>
      </c>
      <c r="L216" s="356"/>
      <c r="M216" s="356"/>
    </row>
    <row r="217" spans="1:33">
      <c r="B217" s="83" t="str">
        <f t="shared" ref="B217:B236" si="125">IF(B106=0,"-",B106)</f>
        <v>Продукт 1</v>
      </c>
      <c r="C217" s="84" t="s">
        <v>93</v>
      </c>
      <c r="D217" s="77"/>
      <c r="E217" s="77"/>
      <c r="F217" s="77"/>
      <c r="G217" s="77"/>
      <c r="H217" s="77"/>
      <c r="I217" s="77"/>
      <c r="J217" s="77"/>
      <c r="K217" s="77"/>
      <c r="L217" s="306">
        <f t="shared" ref="L217:L235" si="126">SUMPRODUCT($D$214:$K$214,D217:K217)</f>
        <v>0</v>
      </c>
      <c r="M217" s="306">
        <f>IF($H$16=справочник!$A$16,SUMPRODUCT($D$215:$K$215,D217:K217),L217)</f>
        <v>0</v>
      </c>
    </row>
    <row r="218" spans="1:33" outlineLevel="1">
      <c r="B218" s="83" t="str">
        <f t="shared" si="125"/>
        <v>Продукт 2</v>
      </c>
      <c r="C218" s="84" t="s">
        <v>93</v>
      </c>
      <c r="D218" s="77"/>
      <c r="E218" s="77"/>
      <c r="F218" s="77"/>
      <c r="G218" s="77"/>
      <c r="H218" s="77"/>
      <c r="I218" s="77"/>
      <c r="J218" s="77"/>
      <c r="K218" s="77"/>
      <c r="L218" s="306">
        <f t="shared" si="126"/>
        <v>0</v>
      </c>
      <c r="M218" s="306">
        <f>IF($H$16=справочник!$A$16,SUMPRODUCT($D$215:$K$215,D218:K218),L218)</f>
        <v>0</v>
      </c>
    </row>
    <row r="219" spans="1:33" outlineLevel="1">
      <c r="B219" s="83" t="str">
        <f t="shared" si="125"/>
        <v>Продукт 3</v>
      </c>
      <c r="C219" s="84" t="s">
        <v>93</v>
      </c>
      <c r="D219" s="77"/>
      <c r="E219" s="77"/>
      <c r="F219" s="77"/>
      <c r="G219" s="77"/>
      <c r="H219" s="77"/>
      <c r="I219" s="77"/>
      <c r="J219" s="77"/>
      <c r="K219" s="77"/>
      <c r="L219" s="306">
        <f t="shared" si="126"/>
        <v>0</v>
      </c>
      <c r="M219" s="306">
        <f>IF($H$16=справочник!$A$16,SUMPRODUCT($D$215:$K$215,D219:K219),L219)</f>
        <v>0</v>
      </c>
    </row>
    <row r="220" spans="1:33" outlineLevel="1">
      <c r="B220" s="83" t="str">
        <f t="shared" si="125"/>
        <v>Продукт 4</v>
      </c>
      <c r="C220" s="84" t="s">
        <v>93</v>
      </c>
      <c r="D220" s="77"/>
      <c r="E220" s="77"/>
      <c r="F220" s="77"/>
      <c r="G220" s="77"/>
      <c r="H220" s="77"/>
      <c r="I220" s="77"/>
      <c r="J220" s="77"/>
      <c r="K220" s="77"/>
      <c r="L220" s="306">
        <f t="shared" si="126"/>
        <v>0</v>
      </c>
      <c r="M220" s="306">
        <f>IF($H$16=справочник!$A$16,SUMPRODUCT($D$215:$K$215,D220:K220),L220)</f>
        <v>0</v>
      </c>
    </row>
    <row r="221" spans="1:33" outlineLevel="1">
      <c r="B221" s="83" t="str">
        <f t="shared" si="125"/>
        <v>Продукт 5</v>
      </c>
      <c r="C221" s="84" t="s">
        <v>93</v>
      </c>
      <c r="D221" s="77"/>
      <c r="E221" s="77"/>
      <c r="F221" s="77"/>
      <c r="G221" s="77"/>
      <c r="H221" s="77"/>
      <c r="I221" s="77"/>
      <c r="J221" s="77"/>
      <c r="K221" s="77"/>
      <c r="L221" s="306">
        <f t="shared" si="126"/>
        <v>0</v>
      </c>
      <c r="M221" s="306">
        <f>IF($H$16=справочник!$A$16,SUMPRODUCT($D$215:$K$215,D221:K221),L221)</f>
        <v>0</v>
      </c>
    </row>
    <row r="222" spans="1:33" outlineLevel="1">
      <c r="B222" s="83" t="str">
        <f t="shared" si="125"/>
        <v>Продукт 6</v>
      </c>
      <c r="C222" s="84" t="s">
        <v>93</v>
      </c>
      <c r="D222" s="77"/>
      <c r="E222" s="77"/>
      <c r="F222" s="77"/>
      <c r="G222" s="77"/>
      <c r="H222" s="77"/>
      <c r="I222" s="77"/>
      <c r="J222" s="77"/>
      <c r="K222" s="77"/>
      <c r="L222" s="306">
        <f t="shared" si="126"/>
        <v>0</v>
      </c>
      <c r="M222" s="306">
        <f>IF($H$16=справочник!$A$16,SUMPRODUCT($D$215:$K$215,D222:K222),L222)</f>
        <v>0</v>
      </c>
    </row>
    <row r="223" spans="1:33" outlineLevel="1">
      <c r="B223" s="83" t="str">
        <f t="shared" si="125"/>
        <v>Продукт 7</v>
      </c>
      <c r="C223" s="84" t="s">
        <v>93</v>
      </c>
      <c r="D223" s="77"/>
      <c r="E223" s="77"/>
      <c r="F223" s="77"/>
      <c r="G223" s="77"/>
      <c r="H223" s="77"/>
      <c r="I223" s="77"/>
      <c r="J223" s="77"/>
      <c r="K223" s="77"/>
      <c r="L223" s="306">
        <f t="shared" si="126"/>
        <v>0</v>
      </c>
      <c r="M223" s="306">
        <f>IF($H$16=справочник!$A$16,SUMPRODUCT($D$215:$K$215,D223:K223),L223)</f>
        <v>0</v>
      </c>
    </row>
    <row r="224" spans="1:33" outlineLevel="1">
      <c r="B224" s="83" t="str">
        <f t="shared" si="125"/>
        <v>Продукт 8</v>
      </c>
      <c r="C224" s="84" t="s">
        <v>93</v>
      </c>
      <c r="D224" s="77"/>
      <c r="E224" s="77"/>
      <c r="F224" s="77"/>
      <c r="G224" s="77"/>
      <c r="H224" s="77"/>
      <c r="I224" s="77"/>
      <c r="J224" s="77"/>
      <c r="K224" s="77"/>
      <c r="L224" s="306">
        <f t="shared" si="126"/>
        <v>0</v>
      </c>
      <c r="M224" s="306">
        <f>IF($H$16=справочник!$A$16,SUMPRODUCT($D$215:$K$215,D224:K224),L224)</f>
        <v>0</v>
      </c>
    </row>
    <row r="225" spans="2:33" outlineLevel="1">
      <c r="B225" s="83" t="str">
        <f t="shared" si="125"/>
        <v>Продукт 9</v>
      </c>
      <c r="C225" s="84" t="s">
        <v>93</v>
      </c>
      <c r="D225" s="77"/>
      <c r="E225" s="77"/>
      <c r="F225" s="77"/>
      <c r="G225" s="77"/>
      <c r="H225" s="77"/>
      <c r="I225" s="77"/>
      <c r="J225" s="77"/>
      <c r="K225" s="77"/>
      <c r="L225" s="306">
        <f t="shared" si="126"/>
        <v>0</v>
      </c>
      <c r="M225" s="306">
        <f>IF($H$16=справочник!$A$16,SUMPRODUCT($D$215:$K$215,D225:K225),L225)</f>
        <v>0</v>
      </c>
    </row>
    <row r="226" spans="2:33" outlineLevel="1">
      <c r="B226" s="83" t="str">
        <f t="shared" si="125"/>
        <v>Продукт 10</v>
      </c>
      <c r="C226" s="84" t="s">
        <v>93</v>
      </c>
      <c r="D226" s="77"/>
      <c r="E226" s="77"/>
      <c r="F226" s="77"/>
      <c r="G226" s="77"/>
      <c r="H226" s="77"/>
      <c r="I226" s="77"/>
      <c r="J226" s="77"/>
      <c r="K226" s="77"/>
      <c r="L226" s="306">
        <f t="shared" si="126"/>
        <v>0</v>
      </c>
      <c r="M226" s="306">
        <f>IF($H$16=справочник!$A$16,SUMPRODUCT($D$215:$K$215,D226:K226),L226)</f>
        <v>0</v>
      </c>
    </row>
    <row r="227" spans="2:33" outlineLevel="1">
      <c r="B227" s="83" t="str">
        <f t="shared" si="125"/>
        <v>Продукт 11</v>
      </c>
      <c r="C227" s="84" t="s">
        <v>93</v>
      </c>
      <c r="D227" s="77"/>
      <c r="E227" s="77"/>
      <c r="F227" s="77"/>
      <c r="G227" s="77"/>
      <c r="H227" s="77"/>
      <c r="I227" s="77"/>
      <c r="J227" s="77"/>
      <c r="K227" s="77"/>
      <c r="L227" s="306">
        <f t="shared" si="126"/>
        <v>0</v>
      </c>
      <c r="M227" s="306">
        <f>IF($H$16=справочник!$A$16,SUMPRODUCT($D$215:$K$215,D227:K227),L227)</f>
        <v>0</v>
      </c>
    </row>
    <row r="228" spans="2:33" outlineLevel="1">
      <c r="B228" s="83" t="str">
        <f t="shared" si="125"/>
        <v>Продукт 12</v>
      </c>
      <c r="C228" s="84" t="s">
        <v>93</v>
      </c>
      <c r="D228" s="77"/>
      <c r="E228" s="77"/>
      <c r="F228" s="77"/>
      <c r="G228" s="77"/>
      <c r="H228" s="77"/>
      <c r="I228" s="77"/>
      <c r="J228" s="77"/>
      <c r="K228" s="77"/>
      <c r="L228" s="306">
        <f t="shared" si="126"/>
        <v>0</v>
      </c>
      <c r="M228" s="306">
        <f>IF($H$16=справочник!$A$16,SUMPRODUCT($D$215:$K$215,D228:K228),L228)</f>
        <v>0</v>
      </c>
    </row>
    <row r="229" spans="2:33" outlineLevel="1">
      <c r="B229" s="83" t="str">
        <f t="shared" si="125"/>
        <v>Продукт 13</v>
      </c>
      <c r="C229" s="84" t="s">
        <v>93</v>
      </c>
      <c r="D229" s="77"/>
      <c r="E229" s="77"/>
      <c r="F229" s="77"/>
      <c r="G229" s="77"/>
      <c r="H229" s="77"/>
      <c r="I229" s="77"/>
      <c r="J229" s="77"/>
      <c r="K229" s="77"/>
      <c r="L229" s="306">
        <f t="shared" si="126"/>
        <v>0</v>
      </c>
      <c r="M229" s="306">
        <f>IF($H$16=справочник!$A$16,SUMPRODUCT($D$215:$K$215,D229:K229),L229)</f>
        <v>0</v>
      </c>
    </row>
    <row r="230" spans="2:33" outlineLevel="1">
      <c r="B230" s="83" t="str">
        <f t="shared" si="125"/>
        <v>Продукт 14</v>
      </c>
      <c r="C230" s="84" t="s">
        <v>93</v>
      </c>
      <c r="D230" s="77"/>
      <c r="E230" s="77"/>
      <c r="F230" s="77"/>
      <c r="G230" s="77"/>
      <c r="H230" s="77"/>
      <c r="I230" s="77"/>
      <c r="J230" s="77"/>
      <c r="K230" s="77"/>
      <c r="L230" s="306">
        <f t="shared" si="126"/>
        <v>0</v>
      </c>
      <c r="M230" s="306">
        <f>IF($H$16=справочник!$A$16,SUMPRODUCT($D$215:$K$215,D230:K230),L230)</f>
        <v>0</v>
      </c>
    </row>
    <row r="231" spans="2:33" outlineLevel="1">
      <c r="B231" s="83" t="str">
        <f t="shared" si="125"/>
        <v>Продукт 15</v>
      </c>
      <c r="C231" s="84" t="s">
        <v>93</v>
      </c>
      <c r="D231" s="77"/>
      <c r="E231" s="77"/>
      <c r="F231" s="77"/>
      <c r="G231" s="77"/>
      <c r="H231" s="77"/>
      <c r="I231" s="77"/>
      <c r="J231" s="77"/>
      <c r="K231" s="77"/>
      <c r="L231" s="306">
        <f t="shared" si="126"/>
        <v>0</v>
      </c>
      <c r="M231" s="306">
        <f>IF($H$16=справочник!$A$16,SUMPRODUCT($D$215:$K$215,D231:K231),L231)</f>
        <v>0</v>
      </c>
    </row>
    <row r="232" spans="2:33" outlineLevel="1">
      <c r="B232" s="83" t="str">
        <f t="shared" si="125"/>
        <v>Продукт 16</v>
      </c>
      <c r="C232" s="84" t="s">
        <v>93</v>
      </c>
      <c r="D232" s="77"/>
      <c r="E232" s="77"/>
      <c r="F232" s="77"/>
      <c r="G232" s="77"/>
      <c r="H232" s="77"/>
      <c r="I232" s="77"/>
      <c r="J232" s="77"/>
      <c r="K232" s="77"/>
      <c r="L232" s="306">
        <f t="shared" si="126"/>
        <v>0</v>
      </c>
      <c r="M232" s="306">
        <f>IF($H$16=справочник!$A$16,SUMPRODUCT($D$215:$K$215,D232:K232),L232)</f>
        <v>0</v>
      </c>
    </row>
    <row r="233" spans="2:33" outlineLevel="1">
      <c r="B233" s="83" t="str">
        <f t="shared" si="125"/>
        <v>Продукт 17</v>
      </c>
      <c r="C233" s="84" t="s">
        <v>93</v>
      </c>
      <c r="D233" s="77"/>
      <c r="E233" s="77"/>
      <c r="F233" s="77"/>
      <c r="G233" s="77"/>
      <c r="H233" s="77"/>
      <c r="I233" s="77"/>
      <c r="J233" s="77"/>
      <c r="K233" s="77"/>
      <c r="L233" s="306">
        <f t="shared" si="126"/>
        <v>0</v>
      </c>
      <c r="M233" s="306">
        <f>IF($H$16=справочник!$A$16,SUMPRODUCT($D$215:$K$215,D233:K233),L233)</f>
        <v>0</v>
      </c>
    </row>
    <row r="234" spans="2:33" outlineLevel="1">
      <c r="B234" s="83" t="str">
        <f t="shared" si="125"/>
        <v>Продукт 18</v>
      </c>
      <c r="C234" s="84" t="s">
        <v>93</v>
      </c>
      <c r="D234" s="77"/>
      <c r="E234" s="77"/>
      <c r="F234" s="77"/>
      <c r="G234" s="77"/>
      <c r="H234" s="77"/>
      <c r="I234" s="77"/>
      <c r="J234" s="77"/>
      <c r="K234" s="77"/>
      <c r="L234" s="306">
        <f t="shared" si="126"/>
        <v>0</v>
      </c>
      <c r="M234" s="306">
        <f>IF($H$16=справочник!$A$16,SUMPRODUCT($D$215:$K$215,D234:K234),L234)</f>
        <v>0</v>
      </c>
    </row>
    <row r="235" spans="2:33" outlineLevel="1">
      <c r="B235" s="83" t="str">
        <f t="shared" si="125"/>
        <v>Продукт 19</v>
      </c>
      <c r="C235" s="84" t="s">
        <v>93</v>
      </c>
      <c r="D235" s="77"/>
      <c r="E235" s="77"/>
      <c r="F235" s="77"/>
      <c r="G235" s="77"/>
      <c r="H235" s="77"/>
      <c r="I235" s="77"/>
      <c r="J235" s="77"/>
      <c r="K235" s="77"/>
      <c r="L235" s="306">
        <f t="shared" si="126"/>
        <v>0</v>
      </c>
      <c r="M235" s="306">
        <f>IF($H$16=справочник!$A$16,SUMPRODUCT($D$215:$K$215,D235:K235),L235)</f>
        <v>0</v>
      </c>
    </row>
    <row r="236" spans="2:33" outlineLevel="1">
      <c r="B236" s="83" t="str">
        <f t="shared" si="125"/>
        <v>Продукт 20</v>
      </c>
      <c r="C236" s="84" t="s">
        <v>93</v>
      </c>
      <c r="D236" s="77"/>
      <c r="E236" s="77"/>
      <c r="F236" s="77"/>
      <c r="G236" s="77"/>
      <c r="H236" s="77"/>
      <c r="I236" s="77"/>
      <c r="J236" s="77"/>
      <c r="K236" s="77"/>
      <c r="L236" s="306">
        <f>SUMPRODUCT($D$214:$K$214,D236:K236)</f>
        <v>0</v>
      </c>
      <c r="M236" s="306">
        <f>IF($H$16=справочник!$A$16,SUMPRODUCT($D$215:$K$215,D236:K236),L236)</f>
        <v>0</v>
      </c>
    </row>
    <row r="238" spans="2:33" ht="15.75">
      <c r="B238" s="62" t="s">
        <v>375</v>
      </c>
    </row>
    <row r="239" spans="2:33">
      <c r="B239" s="347" t="s">
        <v>62</v>
      </c>
      <c r="C239" s="347" t="s">
        <v>63</v>
      </c>
      <c r="D239" s="72">
        <f t="shared" ref="D239:M242" si="127">O52</f>
        <v>1</v>
      </c>
      <c r="E239" s="72">
        <f t="shared" si="127"/>
        <v>2</v>
      </c>
      <c r="F239" s="72">
        <f t="shared" si="127"/>
        <v>3</v>
      </c>
      <c r="G239" s="72">
        <f t="shared" si="127"/>
        <v>4</v>
      </c>
      <c r="H239" s="72">
        <f t="shared" si="127"/>
        <v>5</v>
      </c>
      <c r="I239" s="72">
        <f t="shared" si="127"/>
        <v>6</v>
      </c>
      <c r="J239" s="72">
        <f t="shared" si="127"/>
        <v>7</v>
      </c>
      <c r="K239" s="72">
        <f t="shared" si="127"/>
        <v>8</v>
      </c>
      <c r="L239" s="72">
        <f t="shared" si="127"/>
        <v>9</v>
      </c>
      <c r="M239" s="72">
        <f t="shared" si="127"/>
        <v>10</v>
      </c>
      <c r="N239" s="72">
        <f t="shared" ref="N239:W242" si="128">Y52</f>
        <v>11</v>
      </c>
      <c r="O239" s="72">
        <f t="shared" si="128"/>
        <v>12</v>
      </c>
      <c r="P239" s="72">
        <f t="shared" si="128"/>
        <v>13</v>
      </c>
      <c r="Q239" s="72">
        <f t="shared" si="128"/>
        <v>14</v>
      </c>
      <c r="R239" s="72">
        <f t="shared" si="128"/>
        <v>15</v>
      </c>
      <c r="S239" s="72">
        <f t="shared" si="128"/>
        <v>16</v>
      </c>
      <c r="T239" s="72">
        <f t="shared" si="128"/>
        <v>17</v>
      </c>
      <c r="U239" s="72">
        <f t="shared" si="128"/>
        <v>18</v>
      </c>
      <c r="V239" s="72">
        <f t="shared" si="128"/>
        <v>19</v>
      </c>
      <c r="W239" s="72">
        <f t="shared" si="128"/>
        <v>20</v>
      </c>
      <c r="X239" s="72">
        <f t="shared" ref="X239:AG242" si="129">AI52</f>
        <v>21</v>
      </c>
      <c r="Y239" s="72">
        <f t="shared" si="129"/>
        <v>22</v>
      </c>
      <c r="Z239" s="72">
        <f t="shared" si="129"/>
        <v>23</v>
      </c>
      <c r="AA239" s="72">
        <f t="shared" si="129"/>
        <v>24</v>
      </c>
      <c r="AB239" s="72">
        <f t="shared" si="129"/>
        <v>25</v>
      </c>
      <c r="AC239" s="72">
        <f t="shared" si="129"/>
        <v>26</v>
      </c>
      <c r="AD239" s="72">
        <f t="shared" si="129"/>
        <v>27</v>
      </c>
      <c r="AE239" s="72">
        <f t="shared" si="129"/>
        <v>28</v>
      </c>
      <c r="AF239" s="72">
        <f t="shared" si="129"/>
        <v>29</v>
      </c>
      <c r="AG239" s="72">
        <f t="shared" si="129"/>
        <v>30</v>
      </c>
    </row>
    <row r="240" spans="2:33">
      <c r="B240" s="347"/>
      <c r="C240" s="347"/>
      <c r="D240" s="73">
        <f t="shared" si="127"/>
        <v>46023</v>
      </c>
      <c r="E240" s="73">
        <f t="shared" si="127"/>
        <v>46113</v>
      </c>
      <c r="F240" s="73">
        <f t="shared" si="127"/>
        <v>46204</v>
      </c>
      <c r="G240" s="73">
        <f t="shared" si="127"/>
        <v>46296</v>
      </c>
      <c r="H240" s="73">
        <f t="shared" si="127"/>
        <v>46388</v>
      </c>
      <c r="I240" s="73">
        <f t="shared" si="127"/>
        <v>46478</v>
      </c>
      <c r="J240" s="73">
        <f t="shared" si="127"/>
        <v>46569</v>
      </c>
      <c r="K240" s="73">
        <f t="shared" si="127"/>
        <v>46661</v>
      </c>
      <c r="L240" s="73">
        <f t="shared" si="127"/>
        <v>46753</v>
      </c>
      <c r="M240" s="73">
        <f t="shared" si="127"/>
        <v>46844</v>
      </c>
      <c r="N240" s="73">
        <f t="shared" si="128"/>
        <v>46935</v>
      </c>
      <c r="O240" s="73">
        <f t="shared" si="128"/>
        <v>47027</v>
      </c>
      <c r="P240" s="73">
        <f t="shared" si="128"/>
        <v>47119</v>
      </c>
      <c r="Q240" s="73">
        <f t="shared" si="128"/>
        <v>47209</v>
      </c>
      <c r="R240" s="73">
        <f t="shared" si="128"/>
        <v>47300</v>
      </c>
      <c r="S240" s="73">
        <f t="shared" si="128"/>
        <v>47392</v>
      </c>
      <c r="T240" s="73">
        <f t="shared" si="128"/>
        <v>47484</v>
      </c>
      <c r="U240" s="73">
        <f t="shared" si="128"/>
        <v>47574</v>
      </c>
      <c r="V240" s="73">
        <f t="shared" si="128"/>
        <v>47665</v>
      </c>
      <c r="W240" s="73">
        <f t="shared" si="128"/>
        <v>47757</v>
      </c>
      <c r="X240" s="73">
        <f t="shared" si="129"/>
        <v>47849</v>
      </c>
      <c r="Y240" s="73">
        <f t="shared" si="129"/>
        <v>47939</v>
      </c>
      <c r="Z240" s="73">
        <f t="shared" si="129"/>
        <v>48030</v>
      </c>
      <c r="AA240" s="73">
        <f t="shared" si="129"/>
        <v>48122</v>
      </c>
      <c r="AB240" s="73">
        <f t="shared" si="129"/>
        <v>48214</v>
      </c>
      <c r="AC240" s="73">
        <f t="shared" si="129"/>
        <v>48305</v>
      </c>
      <c r="AD240" s="73">
        <f t="shared" si="129"/>
        <v>48396</v>
      </c>
      <c r="AE240" s="73">
        <f t="shared" si="129"/>
        <v>48488</v>
      </c>
      <c r="AF240" s="73">
        <f t="shared" si="129"/>
        <v>48580</v>
      </c>
      <c r="AG240" s="73">
        <f t="shared" si="129"/>
        <v>48670</v>
      </c>
    </row>
    <row r="241" spans="2:33">
      <c r="B241" s="347"/>
      <c r="C241" s="347"/>
      <c r="D241" s="73">
        <f t="shared" si="127"/>
        <v>46112</v>
      </c>
      <c r="E241" s="73">
        <f t="shared" si="127"/>
        <v>46203</v>
      </c>
      <c r="F241" s="73">
        <f t="shared" si="127"/>
        <v>46295</v>
      </c>
      <c r="G241" s="73">
        <f t="shared" si="127"/>
        <v>46387</v>
      </c>
      <c r="H241" s="73">
        <f t="shared" si="127"/>
        <v>46477</v>
      </c>
      <c r="I241" s="73">
        <f t="shared" si="127"/>
        <v>46568</v>
      </c>
      <c r="J241" s="73">
        <f t="shared" si="127"/>
        <v>46660</v>
      </c>
      <c r="K241" s="73">
        <f t="shared" si="127"/>
        <v>46752</v>
      </c>
      <c r="L241" s="73">
        <f t="shared" si="127"/>
        <v>46843</v>
      </c>
      <c r="M241" s="73">
        <f t="shared" si="127"/>
        <v>46934</v>
      </c>
      <c r="N241" s="73">
        <f t="shared" si="128"/>
        <v>47026</v>
      </c>
      <c r="O241" s="73">
        <f t="shared" si="128"/>
        <v>47118</v>
      </c>
      <c r="P241" s="73">
        <f t="shared" si="128"/>
        <v>47208</v>
      </c>
      <c r="Q241" s="73">
        <f t="shared" si="128"/>
        <v>47299</v>
      </c>
      <c r="R241" s="73">
        <f t="shared" si="128"/>
        <v>47391</v>
      </c>
      <c r="S241" s="73">
        <f t="shared" si="128"/>
        <v>47483</v>
      </c>
      <c r="T241" s="73">
        <f t="shared" si="128"/>
        <v>47573</v>
      </c>
      <c r="U241" s="73">
        <f t="shared" si="128"/>
        <v>47664</v>
      </c>
      <c r="V241" s="73">
        <f t="shared" si="128"/>
        <v>47756</v>
      </c>
      <c r="W241" s="73">
        <f t="shared" si="128"/>
        <v>47848</v>
      </c>
      <c r="X241" s="73">
        <f t="shared" si="129"/>
        <v>47938</v>
      </c>
      <c r="Y241" s="73">
        <f t="shared" si="129"/>
        <v>48029</v>
      </c>
      <c r="Z241" s="73">
        <f t="shared" si="129"/>
        <v>48121</v>
      </c>
      <c r="AA241" s="73">
        <f t="shared" si="129"/>
        <v>48213</v>
      </c>
      <c r="AB241" s="73">
        <f t="shared" si="129"/>
        <v>48304</v>
      </c>
      <c r="AC241" s="73">
        <f t="shared" si="129"/>
        <v>48395</v>
      </c>
      <c r="AD241" s="73">
        <f t="shared" si="129"/>
        <v>48487</v>
      </c>
      <c r="AE241" s="73">
        <f t="shared" si="129"/>
        <v>48579</v>
      </c>
      <c r="AF241" s="73">
        <f t="shared" si="129"/>
        <v>48669</v>
      </c>
      <c r="AG241" s="73">
        <f t="shared" si="129"/>
        <v>48760</v>
      </c>
    </row>
    <row r="242" spans="2:33">
      <c r="B242" s="347"/>
      <c r="C242" s="347"/>
      <c r="D242" s="73" t="str">
        <f t="shared" si="127"/>
        <v>1 кв 2026</v>
      </c>
      <c r="E242" s="73" t="str">
        <f t="shared" si="127"/>
        <v>2 кв 2026</v>
      </c>
      <c r="F242" s="73" t="str">
        <f t="shared" si="127"/>
        <v>3 кв 2026</v>
      </c>
      <c r="G242" s="73" t="str">
        <f t="shared" si="127"/>
        <v>4 кв 2026</v>
      </c>
      <c r="H242" s="73" t="str">
        <f t="shared" si="127"/>
        <v>1 кв 2027</v>
      </c>
      <c r="I242" s="73" t="str">
        <f t="shared" si="127"/>
        <v>2 кв 2027</v>
      </c>
      <c r="J242" s="73" t="str">
        <f t="shared" si="127"/>
        <v>3 кв 2027</v>
      </c>
      <c r="K242" s="73" t="str">
        <f t="shared" si="127"/>
        <v>4 кв 2027</v>
      </c>
      <c r="L242" s="73" t="str">
        <f t="shared" si="127"/>
        <v>1 кв 2028</v>
      </c>
      <c r="M242" s="73" t="str">
        <f t="shared" si="127"/>
        <v>2 кв 2028</v>
      </c>
      <c r="N242" s="73" t="str">
        <f t="shared" si="128"/>
        <v>3 кв 2028</v>
      </c>
      <c r="O242" s="73" t="str">
        <f t="shared" si="128"/>
        <v>4 кв 2028</v>
      </c>
      <c r="P242" s="73" t="str">
        <f t="shared" si="128"/>
        <v>1 кв 2029</v>
      </c>
      <c r="Q242" s="73" t="str">
        <f t="shared" si="128"/>
        <v>2 кв 2029</v>
      </c>
      <c r="R242" s="73" t="str">
        <f t="shared" si="128"/>
        <v>3 кв 2029</v>
      </c>
      <c r="S242" s="73" t="str">
        <f t="shared" si="128"/>
        <v>4 кв 2029</v>
      </c>
      <c r="T242" s="73" t="str">
        <f t="shared" si="128"/>
        <v>1 кв 2030</v>
      </c>
      <c r="U242" s="73" t="str">
        <f t="shared" si="128"/>
        <v>2 кв 2030</v>
      </c>
      <c r="V242" s="73" t="str">
        <f t="shared" si="128"/>
        <v>3 кв 2030</v>
      </c>
      <c r="W242" s="73" t="str">
        <f t="shared" si="128"/>
        <v>4 кв 2030</v>
      </c>
      <c r="X242" s="73" t="str">
        <f t="shared" si="129"/>
        <v>1 кв 2031</v>
      </c>
      <c r="Y242" s="73" t="str">
        <f t="shared" si="129"/>
        <v>2 кв 2031</v>
      </c>
      <c r="Z242" s="73" t="str">
        <f t="shared" si="129"/>
        <v>3 кв 2031</v>
      </c>
      <c r="AA242" s="73" t="str">
        <f t="shared" si="129"/>
        <v>4 кв 2031</v>
      </c>
      <c r="AB242" s="73" t="str">
        <f t="shared" si="129"/>
        <v>1 кв 2032</v>
      </c>
      <c r="AC242" s="73" t="str">
        <f t="shared" si="129"/>
        <v>2 кв 2032</v>
      </c>
      <c r="AD242" s="73" t="str">
        <f t="shared" si="129"/>
        <v>3 кв 2032</v>
      </c>
      <c r="AE242" s="73" t="str">
        <f t="shared" si="129"/>
        <v>4 кв 2032</v>
      </c>
      <c r="AF242" s="73" t="str">
        <f t="shared" si="129"/>
        <v>1 кв 2033</v>
      </c>
      <c r="AG242" s="73" t="str">
        <f t="shared" si="129"/>
        <v>2 кв 2033</v>
      </c>
    </row>
    <row r="243" spans="2:33">
      <c r="B243" s="83" t="str">
        <f t="shared" ref="B243:B262" si="130">IF(B132=0,"-",B132)</f>
        <v>Продукт 1</v>
      </c>
      <c r="C243" s="84" t="str">
        <f>C217</f>
        <v>тыс.руб.</v>
      </c>
      <c r="D243" s="102">
        <f>ROUND(D161*$L217,2)</f>
        <v>0</v>
      </c>
      <c r="E243" s="102">
        <f t="shared" ref="E243:AG252" si="131">ROUND(E161*$L217,2)</f>
        <v>0</v>
      </c>
      <c r="F243" s="102">
        <f t="shared" si="131"/>
        <v>0</v>
      </c>
      <c r="G243" s="102">
        <f t="shared" si="131"/>
        <v>0</v>
      </c>
      <c r="H243" s="102">
        <f t="shared" si="131"/>
        <v>0</v>
      </c>
      <c r="I243" s="102">
        <f t="shared" si="131"/>
        <v>0</v>
      </c>
      <c r="J243" s="102">
        <f t="shared" si="131"/>
        <v>0</v>
      </c>
      <c r="K243" s="102">
        <f t="shared" si="131"/>
        <v>0</v>
      </c>
      <c r="L243" s="102">
        <f t="shared" si="131"/>
        <v>0</v>
      </c>
      <c r="M243" s="102">
        <f t="shared" si="131"/>
        <v>0</v>
      </c>
      <c r="N243" s="102">
        <f t="shared" si="131"/>
        <v>0</v>
      </c>
      <c r="O243" s="102">
        <f t="shared" si="131"/>
        <v>0</v>
      </c>
      <c r="P243" s="102">
        <f t="shared" si="131"/>
        <v>0</v>
      </c>
      <c r="Q243" s="102">
        <f t="shared" si="131"/>
        <v>0</v>
      </c>
      <c r="R243" s="102">
        <f t="shared" si="131"/>
        <v>0</v>
      </c>
      <c r="S243" s="102">
        <f t="shared" si="131"/>
        <v>0</v>
      </c>
      <c r="T243" s="102">
        <f t="shared" si="131"/>
        <v>0</v>
      </c>
      <c r="U243" s="102">
        <f t="shared" si="131"/>
        <v>0</v>
      </c>
      <c r="V243" s="102">
        <f t="shared" si="131"/>
        <v>0</v>
      </c>
      <c r="W243" s="102">
        <f t="shared" si="131"/>
        <v>0</v>
      </c>
      <c r="X243" s="102">
        <f t="shared" si="131"/>
        <v>0</v>
      </c>
      <c r="Y243" s="102">
        <f t="shared" si="131"/>
        <v>0</v>
      </c>
      <c r="Z243" s="102">
        <f t="shared" si="131"/>
        <v>0</v>
      </c>
      <c r="AA243" s="102">
        <f t="shared" si="131"/>
        <v>0</v>
      </c>
      <c r="AB243" s="102">
        <f t="shared" si="131"/>
        <v>0</v>
      </c>
      <c r="AC243" s="102">
        <f t="shared" si="131"/>
        <v>0</v>
      </c>
      <c r="AD243" s="102">
        <f t="shared" si="131"/>
        <v>0</v>
      </c>
      <c r="AE243" s="102">
        <f t="shared" si="131"/>
        <v>0</v>
      </c>
      <c r="AF243" s="102">
        <f t="shared" si="131"/>
        <v>0</v>
      </c>
      <c r="AG243" s="102">
        <f t="shared" si="131"/>
        <v>0</v>
      </c>
    </row>
    <row r="244" spans="2:33" outlineLevel="1">
      <c r="B244" s="83" t="str">
        <f t="shared" si="130"/>
        <v>Продукт 2</v>
      </c>
      <c r="C244" s="84" t="str">
        <f t="shared" ref="C244:C262" si="132">C218</f>
        <v>тыс.руб.</v>
      </c>
      <c r="D244" s="102">
        <f t="shared" ref="D244:S262" si="133">ROUND(D162*$L218,2)</f>
        <v>0</v>
      </c>
      <c r="E244" s="102">
        <f t="shared" si="133"/>
        <v>0</v>
      </c>
      <c r="F244" s="102">
        <f t="shared" si="133"/>
        <v>0</v>
      </c>
      <c r="G244" s="102">
        <f t="shared" si="133"/>
        <v>0</v>
      </c>
      <c r="H244" s="102">
        <f t="shared" si="133"/>
        <v>0</v>
      </c>
      <c r="I244" s="102">
        <f t="shared" si="133"/>
        <v>0</v>
      </c>
      <c r="J244" s="102">
        <f t="shared" si="133"/>
        <v>0</v>
      </c>
      <c r="K244" s="102">
        <f t="shared" si="133"/>
        <v>0</v>
      </c>
      <c r="L244" s="102">
        <f t="shared" si="133"/>
        <v>0</v>
      </c>
      <c r="M244" s="102">
        <f t="shared" si="133"/>
        <v>0</v>
      </c>
      <c r="N244" s="102">
        <f t="shared" si="133"/>
        <v>0</v>
      </c>
      <c r="O244" s="102">
        <f t="shared" si="133"/>
        <v>0</v>
      </c>
      <c r="P244" s="102">
        <f t="shared" si="133"/>
        <v>0</v>
      </c>
      <c r="Q244" s="102">
        <f t="shared" si="133"/>
        <v>0</v>
      </c>
      <c r="R244" s="102">
        <f t="shared" si="133"/>
        <v>0</v>
      </c>
      <c r="S244" s="102">
        <f t="shared" si="133"/>
        <v>0</v>
      </c>
      <c r="T244" s="102">
        <f t="shared" si="131"/>
        <v>0</v>
      </c>
      <c r="U244" s="102">
        <f t="shared" si="131"/>
        <v>0</v>
      </c>
      <c r="V244" s="102">
        <f t="shared" si="131"/>
        <v>0</v>
      </c>
      <c r="W244" s="102">
        <f t="shared" si="131"/>
        <v>0</v>
      </c>
      <c r="X244" s="102">
        <f t="shared" si="131"/>
        <v>0</v>
      </c>
      <c r="Y244" s="102">
        <f t="shared" si="131"/>
        <v>0</v>
      </c>
      <c r="Z244" s="102">
        <f t="shared" si="131"/>
        <v>0</v>
      </c>
      <c r="AA244" s="102">
        <f t="shared" si="131"/>
        <v>0</v>
      </c>
      <c r="AB244" s="102">
        <f t="shared" si="131"/>
        <v>0</v>
      </c>
      <c r="AC244" s="102">
        <f t="shared" si="131"/>
        <v>0</v>
      </c>
      <c r="AD244" s="102">
        <f t="shared" si="131"/>
        <v>0</v>
      </c>
      <c r="AE244" s="102">
        <f t="shared" si="131"/>
        <v>0</v>
      </c>
      <c r="AF244" s="102">
        <f t="shared" si="131"/>
        <v>0</v>
      </c>
      <c r="AG244" s="102">
        <f t="shared" si="131"/>
        <v>0</v>
      </c>
    </row>
    <row r="245" spans="2:33" outlineLevel="1">
      <c r="B245" s="83" t="str">
        <f t="shared" si="130"/>
        <v>Продукт 3</v>
      </c>
      <c r="C245" s="84" t="str">
        <f t="shared" si="132"/>
        <v>тыс.руб.</v>
      </c>
      <c r="D245" s="102">
        <f t="shared" si="133"/>
        <v>0</v>
      </c>
      <c r="E245" s="102">
        <f t="shared" si="131"/>
        <v>0</v>
      </c>
      <c r="F245" s="102">
        <f t="shared" si="131"/>
        <v>0</v>
      </c>
      <c r="G245" s="102">
        <f t="shared" si="131"/>
        <v>0</v>
      </c>
      <c r="H245" s="102">
        <f t="shared" si="131"/>
        <v>0</v>
      </c>
      <c r="I245" s="102">
        <f t="shared" si="131"/>
        <v>0</v>
      </c>
      <c r="J245" s="102">
        <f t="shared" si="131"/>
        <v>0</v>
      </c>
      <c r="K245" s="102">
        <f t="shared" si="131"/>
        <v>0</v>
      </c>
      <c r="L245" s="102">
        <f t="shared" si="131"/>
        <v>0</v>
      </c>
      <c r="M245" s="102">
        <f t="shared" si="131"/>
        <v>0</v>
      </c>
      <c r="N245" s="102">
        <f t="shared" si="131"/>
        <v>0</v>
      </c>
      <c r="O245" s="102">
        <f t="shared" si="131"/>
        <v>0</v>
      </c>
      <c r="P245" s="102">
        <f t="shared" si="131"/>
        <v>0</v>
      </c>
      <c r="Q245" s="102">
        <f t="shared" si="131"/>
        <v>0</v>
      </c>
      <c r="R245" s="102">
        <f t="shared" si="131"/>
        <v>0</v>
      </c>
      <c r="S245" s="102">
        <f t="shared" si="131"/>
        <v>0</v>
      </c>
      <c r="T245" s="102">
        <f t="shared" si="131"/>
        <v>0</v>
      </c>
      <c r="U245" s="102">
        <f t="shared" si="131"/>
        <v>0</v>
      </c>
      <c r="V245" s="102">
        <f t="shared" si="131"/>
        <v>0</v>
      </c>
      <c r="W245" s="102">
        <f t="shared" si="131"/>
        <v>0</v>
      </c>
      <c r="X245" s="102">
        <f t="shared" si="131"/>
        <v>0</v>
      </c>
      <c r="Y245" s="102">
        <f t="shared" si="131"/>
        <v>0</v>
      </c>
      <c r="Z245" s="102">
        <f t="shared" si="131"/>
        <v>0</v>
      </c>
      <c r="AA245" s="102">
        <f t="shared" si="131"/>
        <v>0</v>
      </c>
      <c r="AB245" s="102">
        <f t="shared" si="131"/>
        <v>0</v>
      </c>
      <c r="AC245" s="102">
        <f t="shared" si="131"/>
        <v>0</v>
      </c>
      <c r="AD245" s="102">
        <f t="shared" si="131"/>
        <v>0</v>
      </c>
      <c r="AE245" s="102">
        <f t="shared" si="131"/>
        <v>0</v>
      </c>
      <c r="AF245" s="102">
        <f t="shared" si="131"/>
        <v>0</v>
      </c>
      <c r="AG245" s="102">
        <f t="shared" si="131"/>
        <v>0</v>
      </c>
    </row>
    <row r="246" spans="2:33" outlineLevel="1">
      <c r="B246" s="83" t="str">
        <f t="shared" si="130"/>
        <v>Продукт 4</v>
      </c>
      <c r="C246" s="84" t="str">
        <f t="shared" si="132"/>
        <v>тыс.руб.</v>
      </c>
      <c r="D246" s="102">
        <f t="shared" si="133"/>
        <v>0</v>
      </c>
      <c r="E246" s="102">
        <f t="shared" si="131"/>
        <v>0</v>
      </c>
      <c r="F246" s="102">
        <f t="shared" si="131"/>
        <v>0</v>
      </c>
      <c r="G246" s="102">
        <f t="shared" si="131"/>
        <v>0</v>
      </c>
      <c r="H246" s="102">
        <f t="shared" si="131"/>
        <v>0</v>
      </c>
      <c r="I246" s="102">
        <f t="shared" si="131"/>
        <v>0</v>
      </c>
      <c r="J246" s="102">
        <f t="shared" si="131"/>
        <v>0</v>
      </c>
      <c r="K246" s="102">
        <f t="shared" si="131"/>
        <v>0</v>
      </c>
      <c r="L246" s="102">
        <f t="shared" si="131"/>
        <v>0</v>
      </c>
      <c r="M246" s="102">
        <f t="shared" si="131"/>
        <v>0</v>
      </c>
      <c r="N246" s="102">
        <f t="shared" si="131"/>
        <v>0</v>
      </c>
      <c r="O246" s="102">
        <f t="shared" si="131"/>
        <v>0</v>
      </c>
      <c r="P246" s="102">
        <f t="shared" si="131"/>
        <v>0</v>
      </c>
      <c r="Q246" s="102">
        <f t="shared" si="131"/>
        <v>0</v>
      </c>
      <c r="R246" s="102">
        <f t="shared" si="131"/>
        <v>0</v>
      </c>
      <c r="S246" s="102">
        <f t="shared" si="131"/>
        <v>0</v>
      </c>
      <c r="T246" s="102">
        <f t="shared" si="131"/>
        <v>0</v>
      </c>
      <c r="U246" s="102">
        <f t="shared" si="131"/>
        <v>0</v>
      </c>
      <c r="V246" s="102">
        <f t="shared" si="131"/>
        <v>0</v>
      </c>
      <c r="W246" s="102">
        <f t="shared" si="131"/>
        <v>0</v>
      </c>
      <c r="X246" s="102">
        <f t="shared" si="131"/>
        <v>0</v>
      </c>
      <c r="Y246" s="102">
        <f t="shared" si="131"/>
        <v>0</v>
      </c>
      <c r="Z246" s="102">
        <f t="shared" si="131"/>
        <v>0</v>
      </c>
      <c r="AA246" s="102">
        <f t="shared" si="131"/>
        <v>0</v>
      </c>
      <c r="AB246" s="102">
        <f t="shared" si="131"/>
        <v>0</v>
      </c>
      <c r="AC246" s="102">
        <f t="shared" si="131"/>
        <v>0</v>
      </c>
      <c r="AD246" s="102">
        <f t="shared" si="131"/>
        <v>0</v>
      </c>
      <c r="AE246" s="102">
        <f t="shared" si="131"/>
        <v>0</v>
      </c>
      <c r="AF246" s="102">
        <f t="shared" si="131"/>
        <v>0</v>
      </c>
      <c r="AG246" s="102">
        <f t="shared" si="131"/>
        <v>0</v>
      </c>
    </row>
    <row r="247" spans="2:33" outlineLevel="1">
      <c r="B247" s="83" t="str">
        <f t="shared" si="130"/>
        <v>Продукт 5</v>
      </c>
      <c r="C247" s="84" t="str">
        <f t="shared" si="132"/>
        <v>тыс.руб.</v>
      </c>
      <c r="D247" s="102">
        <f t="shared" si="133"/>
        <v>0</v>
      </c>
      <c r="E247" s="102">
        <f t="shared" si="131"/>
        <v>0</v>
      </c>
      <c r="F247" s="102">
        <f t="shared" si="131"/>
        <v>0</v>
      </c>
      <c r="G247" s="102">
        <f t="shared" si="131"/>
        <v>0</v>
      </c>
      <c r="H247" s="102">
        <f t="shared" si="131"/>
        <v>0</v>
      </c>
      <c r="I247" s="102">
        <f t="shared" si="131"/>
        <v>0</v>
      </c>
      <c r="J247" s="102">
        <f t="shared" si="131"/>
        <v>0</v>
      </c>
      <c r="K247" s="102">
        <f t="shared" si="131"/>
        <v>0</v>
      </c>
      <c r="L247" s="102">
        <f t="shared" si="131"/>
        <v>0</v>
      </c>
      <c r="M247" s="102">
        <f t="shared" si="131"/>
        <v>0</v>
      </c>
      <c r="N247" s="102">
        <f t="shared" si="131"/>
        <v>0</v>
      </c>
      <c r="O247" s="102">
        <f t="shared" si="131"/>
        <v>0</v>
      </c>
      <c r="P247" s="102">
        <f t="shared" si="131"/>
        <v>0</v>
      </c>
      <c r="Q247" s="102">
        <f t="shared" si="131"/>
        <v>0</v>
      </c>
      <c r="R247" s="102">
        <f t="shared" si="131"/>
        <v>0</v>
      </c>
      <c r="S247" s="102">
        <f t="shared" si="131"/>
        <v>0</v>
      </c>
      <c r="T247" s="102">
        <f t="shared" si="131"/>
        <v>0</v>
      </c>
      <c r="U247" s="102">
        <f t="shared" si="131"/>
        <v>0</v>
      </c>
      <c r="V247" s="102">
        <f t="shared" si="131"/>
        <v>0</v>
      </c>
      <c r="W247" s="102">
        <f t="shared" si="131"/>
        <v>0</v>
      </c>
      <c r="X247" s="102">
        <f t="shared" si="131"/>
        <v>0</v>
      </c>
      <c r="Y247" s="102">
        <f t="shared" si="131"/>
        <v>0</v>
      </c>
      <c r="Z247" s="102">
        <f t="shared" si="131"/>
        <v>0</v>
      </c>
      <c r="AA247" s="102">
        <f t="shared" si="131"/>
        <v>0</v>
      </c>
      <c r="AB247" s="102">
        <f t="shared" si="131"/>
        <v>0</v>
      </c>
      <c r="AC247" s="102">
        <f t="shared" si="131"/>
        <v>0</v>
      </c>
      <c r="AD247" s="102">
        <f t="shared" si="131"/>
        <v>0</v>
      </c>
      <c r="AE247" s="102">
        <f t="shared" si="131"/>
        <v>0</v>
      </c>
      <c r="AF247" s="102">
        <f t="shared" si="131"/>
        <v>0</v>
      </c>
      <c r="AG247" s="102">
        <f t="shared" si="131"/>
        <v>0</v>
      </c>
    </row>
    <row r="248" spans="2:33" outlineLevel="1">
      <c r="B248" s="83" t="str">
        <f t="shared" si="130"/>
        <v>Продукт 6</v>
      </c>
      <c r="C248" s="84" t="str">
        <f t="shared" si="132"/>
        <v>тыс.руб.</v>
      </c>
      <c r="D248" s="102">
        <f t="shared" si="133"/>
        <v>0</v>
      </c>
      <c r="E248" s="102">
        <f t="shared" si="131"/>
        <v>0</v>
      </c>
      <c r="F248" s="102">
        <f t="shared" si="131"/>
        <v>0</v>
      </c>
      <c r="G248" s="102">
        <f t="shared" si="131"/>
        <v>0</v>
      </c>
      <c r="H248" s="102">
        <f t="shared" si="131"/>
        <v>0</v>
      </c>
      <c r="I248" s="102">
        <f t="shared" si="131"/>
        <v>0</v>
      </c>
      <c r="J248" s="102">
        <f t="shared" si="131"/>
        <v>0</v>
      </c>
      <c r="K248" s="102">
        <f t="shared" si="131"/>
        <v>0</v>
      </c>
      <c r="L248" s="102">
        <f t="shared" si="131"/>
        <v>0</v>
      </c>
      <c r="M248" s="102">
        <f t="shared" si="131"/>
        <v>0</v>
      </c>
      <c r="N248" s="102">
        <f t="shared" si="131"/>
        <v>0</v>
      </c>
      <c r="O248" s="102">
        <f t="shared" si="131"/>
        <v>0</v>
      </c>
      <c r="P248" s="102">
        <f t="shared" si="131"/>
        <v>0</v>
      </c>
      <c r="Q248" s="102">
        <f t="shared" si="131"/>
        <v>0</v>
      </c>
      <c r="R248" s="102">
        <f t="shared" si="131"/>
        <v>0</v>
      </c>
      <c r="S248" s="102">
        <f t="shared" si="131"/>
        <v>0</v>
      </c>
      <c r="T248" s="102">
        <f t="shared" si="131"/>
        <v>0</v>
      </c>
      <c r="U248" s="102">
        <f t="shared" si="131"/>
        <v>0</v>
      </c>
      <c r="V248" s="102">
        <f t="shared" si="131"/>
        <v>0</v>
      </c>
      <c r="W248" s="102">
        <f t="shared" si="131"/>
        <v>0</v>
      </c>
      <c r="X248" s="102">
        <f t="shared" si="131"/>
        <v>0</v>
      </c>
      <c r="Y248" s="102">
        <f t="shared" si="131"/>
        <v>0</v>
      </c>
      <c r="Z248" s="102">
        <f t="shared" si="131"/>
        <v>0</v>
      </c>
      <c r="AA248" s="102">
        <f t="shared" si="131"/>
        <v>0</v>
      </c>
      <c r="AB248" s="102">
        <f t="shared" si="131"/>
        <v>0</v>
      </c>
      <c r="AC248" s="102">
        <f t="shared" si="131"/>
        <v>0</v>
      </c>
      <c r="AD248" s="102">
        <f t="shared" si="131"/>
        <v>0</v>
      </c>
      <c r="AE248" s="102">
        <f t="shared" si="131"/>
        <v>0</v>
      </c>
      <c r="AF248" s="102">
        <f t="shared" si="131"/>
        <v>0</v>
      </c>
      <c r="AG248" s="102">
        <f t="shared" si="131"/>
        <v>0</v>
      </c>
    </row>
    <row r="249" spans="2:33" outlineLevel="1">
      <c r="B249" s="83" t="str">
        <f t="shared" si="130"/>
        <v>Продукт 7</v>
      </c>
      <c r="C249" s="84" t="str">
        <f t="shared" si="132"/>
        <v>тыс.руб.</v>
      </c>
      <c r="D249" s="102">
        <f t="shared" si="133"/>
        <v>0</v>
      </c>
      <c r="E249" s="102">
        <f t="shared" si="131"/>
        <v>0</v>
      </c>
      <c r="F249" s="102">
        <f t="shared" si="131"/>
        <v>0</v>
      </c>
      <c r="G249" s="102">
        <f t="shared" si="131"/>
        <v>0</v>
      </c>
      <c r="H249" s="102">
        <f t="shared" si="131"/>
        <v>0</v>
      </c>
      <c r="I249" s="102">
        <f t="shared" si="131"/>
        <v>0</v>
      </c>
      <c r="J249" s="102">
        <f t="shared" si="131"/>
        <v>0</v>
      </c>
      <c r="K249" s="102">
        <f t="shared" si="131"/>
        <v>0</v>
      </c>
      <c r="L249" s="102">
        <f t="shared" si="131"/>
        <v>0</v>
      </c>
      <c r="M249" s="102">
        <f t="shared" si="131"/>
        <v>0</v>
      </c>
      <c r="N249" s="102">
        <f t="shared" si="131"/>
        <v>0</v>
      </c>
      <c r="O249" s="102">
        <f t="shared" si="131"/>
        <v>0</v>
      </c>
      <c r="P249" s="102">
        <f t="shared" si="131"/>
        <v>0</v>
      </c>
      <c r="Q249" s="102">
        <f t="shared" si="131"/>
        <v>0</v>
      </c>
      <c r="R249" s="102">
        <f t="shared" si="131"/>
        <v>0</v>
      </c>
      <c r="S249" s="102">
        <f t="shared" si="131"/>
        <v>0</v>
      </c>
      <c r="T249" s="102">
        <f t="shared" si="131"/>
        <v>0</v>
      </c>
      <c r="U249" s="102">
        <f t="shared" si="131"/>
        <v>0</v>
      </c>
      <c r="V249" s="102">
        <f t="shared" si="131"/>
        <v>0</v>
      </c>
      <c r="W249" s="102">
        <f t="shared" si="131"/>
        <v>0</v>
      </c>
      <c r="X249" s="102">
        <f t="shared" si="131"/>
        <v>0</v>
      </c>
      <c r="Y249" s="102">
        <f t="shared" si="131"/>
        <v>0</v>
      </c>
      <c r="Z249" s="102">
        <f t="shared" si="131"/>
        <v>0</v>
      </c>
      <c r="AA249" s="102">
        <f t="shared" si="131"/>
        <v>0</v>
      </c>
      <c r="AB249" s="102">
        <f t="shared" si="131"/>
        <v>0</v>
      </c>
      <c r="AC249" s="102">
        <f t="shared" si="131"/>
        <v>0</v>
      </c>
      <c r="AD249" s="102">
        <f t="shared" si="131"/>
        <v>0</v>
      </c>
      <c r="AE249" s="102">
        <f t="shared" si="131"/>
        <v>0</v>
      </c>
      <c r="AF249" s="102">
        <f t="shared" si="131"/>
        <v>0</v>
      </c>
      <c r="AG249" s="102">
        <f t="shared" si="131"/>
        <v>0</v>
      </c>
    </row>
    <row r="250" spans="2:33" outlineLevel="1">
      <c r="B250" s="83" t="str">
        <f t="shared" si="130"/>
        <v>Продукт 8</v>
      </c>
      <c r="C250" s="84" t="str">
        <f t="shared" si="132"/>
        <v>тыс.руб.</v>
      </c>
      <c r="D250" s="102">
        <f t="shared" si="133"/>
        <v>0</v>
      </c>
      <c r="E250" s="102">
        <f t="shared" si="131"/>
        <v>0</v>
      </c>
      <c r="F250" s="102">
        <f t="shared" si="131"/>
        <v>0</v>
      </c>
      <c r="G250" s="102">
        <f t="shared" si="131"/>
        <v>0</v>
      </c>
      <c r="H250" s="102">
        <f t="shared" si="131"/>
        <v>0</v>
      </c>
      <c r="I250" s="102">
        <f t="shared" si="131"/>
        <v>0</v>
      </c>
      <c r="J250" s="102">
        <f t="shared" si="131"/>
        <v>0</v>
      </c>
      <c r="K250" s="102">
        <f t="shared" si="131"/>
        <v>0</v>
      </c>
      <c r="L250" s="102">
        <f t="shared" si="131"/>
        <v>0</v>
      </c>
      <c r="M250" s="102">
        <f t="shared" si="131"/>
        <v>0</v>
      </c>
      <c r="N250" s="102">
        <f t="shared" si="131"/>
        <v>0</v>
      </c>
      <c r="O250" s="102">
        <f t="shared" si="131"/>
        <v>0</v>
      </c>
      <c r="P250" s="102">
        <f t="shared" si="131"/>
        <v>0</v>
      </c>
      <c r="Q250" s="102">
        <f t="shared" si="131"/>
        <v>0</v>
      </c>
      <c r="R250" s="102">
        <f t="shared" si="131"/>
        <v>0</v>
      </c>
      <c r="S250" s="102">
        <f t="shared" si="131"/>
        <v>0</v>
      </c>
      <c r="T250" s="102">
        <f t="shared" si="131"/>
        <v>0</v>
      </c>
      <c r="U250" s="102">
        <f t="shared" si="131"/>
        <v>0</v>
      </c>
      <c r="V250" s="102">
        <f t="shared" si="131"/>
        <v>0</v>
      </c>
      <c r="W250" s="102">
        <f t="shared" si="131"/>
        <v>0</v>
      </c>
      <c r="X250" s="102">
        <f t="shared" si="131"/>
        <v>0</v>
      </c>
      <c r="Y250" s="102">
        <f t="shared" si="131"/>
        <v>0</v>
      </c>
      <c r="Z250" s="102">
        <f t="shared" si="131"/>
        <v>0</v>
      </c>
      <c r="AA250" s="102">
        <f t="shared" si="131"/>
        <v>0</v>
      </c>
      <c r="AB250" s="102">
        <f t="shared" si="131"/>
        <v>0</v>
      </c>
      <c r="AC250" s="102">
        <f t="shared" si="131"/>
        <v>0</v>
      </c>
      <c r="AD250" s="102">
        <f t="shared" si="131"/>
        <v>0</v>
      </c>
      <c r="AE250" s="102">
        <f t="shared" si="131"/>
        <v>0</v>
      </c>
      <c r="AF250" s="102">
        <f t="shared" si="131"/>
        <v>0</v>
      </c>
      <c r="AG250" s="102">
        <f t="shared" si="131"/>
        <v>0</v>
      </c>
    </row>
    <row r="251" spans="2:33" outlineLevel="1">
      <c r="B251" s="83" t="str">
        <f t="shared" si="130"/>
        <v>Продукт 9</v>
      </c>
      <c r="C251" s="84" t="str">
        <f t="shared" si="132"/>
        <v>тыс.руб.</v>
      </c>
      <c r="D251" s="102">
        <f t="shared" si="133"/>
        <v>0</v>
      </c>
      <c r="E251" s="102">
        <f t="shared" si="131"/>
        <v>0</v>
      </c>
      <c r="F251" s="102">
        <f t="shared" si="131"/>
        <v>0</v>
      </c>
      <c r="G251" s="102">
        <f t="shared" si="131"/>
        <v>0</v>
      </c>
      <c r="H251" s="102">
        <f t="shared" si="131"/>
        <v>0</v>
      </c>
      <c r="I251" s="102">
        <f t="shared" si="131"/>
        <v>0</v>
      </c>
      <c r="J251" s="102">
        <f t="shared" si="131"/>
        <v>0</v>
      </c>
      <c r="K251" s="102">
        <f t="shared" si="131"/>
        <v>0</v>
      </c>
      <c r="L251" s="102">
        <f t="shared" si="131"/>
        <v>0</v>
      </c>
      <c r="M251" s="102">
        <f t="shared" si="131"/>
        <v>0</v>
      </c>
      <c r="N251" s="102">
        <f t="shared" si="131"/>
        <v>0</v>
      </c>
      <c r="O251" s="102">
        <f t="shared" si="131"/>
        <v>0</v>
      </c>
      <c r="P251" s="102">
        <f t="shared" si="131"/>
        <v>0</v>
      </c>
      <c r="Q251" s="102">
        <f t="shared" si="131"/>
        <v>0</v>
      </c>
      <c r="R251" s="102">
        <f t="shared" si="131"/>
        <v>0</v>
      </c>
      <c r="S251" s="102">
        <f t="shared" si="131"/>
        <v>0</v>
      </c>
      <c r="T251" s="102">
        <f t="shared" si="131"/>
        <v>0</v>
      </c>
      <c r="U251" s="102">
        <f t="shared" si="131"/>
        <v>0</v>
      </c>
      <c r="V251" s="102">
        <f t="shared" si="131"/>
        <v>0</v>
      </c>
      <c r="W251" s="102">
        <f t="shared" si="131"/>
        <v>0</v>
      </c>
      <c r="X251" s="102">
        <f t="shared" si="131"/>
        <v>0</v>
      </c>
      <c r="Y251" s="102">
        <f t="shared" si="131"/>
        <v>0</v>
      </c>
      <c r="Z251" s="102">
        <f t="shared" si="131"/>
        <v>0</v>
      </c>
      <c r="AA251" s="102">
        <f t="shared" si="131"/>
        <v>0</v>
      </c>
      <c r="AB251" s="102">
        <f t="shared" si="131"/>
        <v>0</v>
      </c>
      <c r="AC251" s="102">
        <f t="shared" si="131"/>
        <v>0</v>
      </c>
      <c r="AD251" s="102">
        <f t="shared" si="131"/>
        <v>0</v>
      </c>
      <c r="AE251" s="102">
        <f t="shared" si="131"/>
        <v>0</v>
      </c>
      <c r="AF251" s="102">
        <f t="shared" si="131"/>
        <v>0</v>
      </c>
      <c r="AG251" s="102">
        <f t="shared" si="131"/>
        <v>0</v>
      </c>
    </row>
    <row r="252" spans="2:33" outlineLevel="1">
      <c r="B252" s="83" t="str">
        <f t="shared" si="130"/>
        <v>Продукт 10</v>
      </c>
      <c r="C252" s="84" t="str">
        <f t="shared" si="132"/>
        <v>тыс.руб.</v>
      </c>
      <c r="D252" s="102">
        <f t="shared" si="133"/>
        <v>0</v>
      </c>
      <c r="E252" s="102">
        <f t="shared" si="131"/>
        <v>0</v>
      </c>
      <c r="F252" s="102">
        <f t="shared" si="131"/>
        <v>0</v>
      </c>
      <c r="G252" s="102">
        <f t="shared" si="131"/>
        <v>0</v>
      </c>
      <c r="H252" s="102">
        <f t="shared" si="131"/>
        <v>0</v>
      </c>
      <c r="I252" s="102">
        <f t="shared" si="131"/>
        <v>0</v>
      </c>
      <c r="J252" s="102">
        <f t="shared" si="131"/>
        <v>0</v>
      </c>
      <c r="K252" s="102">
        <f t="shared" si="131"/>
        <v>0</v>
      </c>
      <c r="L252" s="102">
        <f t="shared" si="131"/>
        <v>0</v>
      </c>
      <c r="M252" s="102">
        <f t="shared" si="131"/>
        <v>0</v>
      </c>
      <c r="N252" s="102">
        <f t="shared" ref="E252:AG261" si="134">ROUND(N170*$L226,2)</f>
        <v>0</v>
      </c>
      <c r="O252" s="102">
        <f t="shared" si="134"/>
        <v>0</v>
      </c>
      <c r="P252" s="102">
        <f t="shared" si="134"/>
        <v>0</v>
      </c>
      <c r="Q252" s="102">
        <f t="shared" si="134"/>
        <v>0</v>
      </c>
      <c r="R252" s="102">
        <f t="shared" si="134"/>
        <v>0</v>
      </c>
      <c r="S252" s="102">
        <f t="shared" si="134"/>
        <v>0</v>
      </c>
      <c r="T252" s="102">
        <f t="shared" si="134"/>
        <v>0</v>
      </c>
      <c r="U252" s="102">
        <f t="shared" si="134"/>
        <v>0</v>
      </c>
      <c r="V252" s="102">
        <f t="shared" si="134"/>
        <v>0</v>
      </c>
      <c r="W252" s="102">
        <f t="shared" si="134"/>
        <v>0</v>
      </c>
      <c r="X252" s="102">
        <f t="shared" si="134"/>
        <v>0</v>
      </c>
      <c r="Y252" s="102">
        <f t="shared" si="134"/>
        <v>0</v>
      </c>
      <c r="Z252" s="102">
        <f t="shared" si="134"/>
        <v>0</v>
      </c>
      <c r="AA252" s="102">
        <f t="shared" si="134"/>
        <v>0</v>
      </c>
      <c r="AB252" s="102">
        <f t="shared" si="134"/>
        <v>0</v>
      </c>
      <c r="AC252" s="102">
        <f t="shared" si="134"/>
        <v>0</v>
      </c>
      <c r="AD252" s="102">
        <f t="shared" si="134"/>
        <v>0</v>
      </c>
      <c r="AE252" s="102">
        <f t="shared" si="134"/>
        <v>0</v>
      </c>
      <c r="AF252" s="102">
        <f t="shared" si="134"/>
        <v>0</v>
      </c>
      <c r="AG252" s="102">
        <f t="shared" si="134"/>
        <v>0</v>
      </c>
    </row>
    <row r="253" spans="2:33" outlineLevel="1">
      <c r="B253" s="83" t="str">
        <f t="shared" si="130"/>
        <v>Продукт 11</v>
      </c>
      <c r="C253" s="84" t="str">
        <f t="shared" si="132"/>
        <v>тыс.руб.</v>
      </c>
      <c r="D253" s="102">
        <f t="shared" si="133"/>
        <v>0</v>
      </c>
      <c r="E253" s="102">
        <f t="shared" si="134"/>
        <v>0</v>
      </c>
      <c r="F253" s="102">
        <f t="shared" si="134"/>
        <v>0</v>
      </c>
      <c r="G253" s="102">
        <f t="shared" si="134"/>
        <v>0</v>
      </c>
      <c r="H253" s="102">
        <f t="shared" si="134"/>
        <v>0</v>
      </c>
      <c r="I253" s="102">
        <f t="shared" si="134"/>
        <v>0</v>
      </c>
      <c r="J253" s="102">
        <f t="shared" si="134"/>
        <v>0</v>
      </c>
      <c r="K253" s="102">
        <f t="shared" si="134"/>
        <v>0</v>
      </c>
      <c r="L253" s="102">
        <f t="shared" si="134"/>
        <v>0</v>
      </c>
      <c r="M253" s="102">
        <f t="shared" si="134"/>
        <v>0</v>
      </c>
      <c r="N253" s="102">
        <f t="shared" si="134"/>
        <v>0</v>
      </c>
      <c r="O253" s="102">
        <f t="shared" si="134"/>
        <v>0</v>
      </c>
      <c r="P253" s="102">
        <f t="shared" si="134"/>
        <v>0</v>
      </c>
      <c r="Q253" s="102">
        <f t="shared" si="134"/>
        <v>0</v>
      </c>
      <c r="R253" s="102">
        <f t="shared" si="134"/>
        <v>0</v>
      </c>
      <c r="S253" s="102">
        <f t="shared" si="134"/>
        <v>0</v>
      </c>
      <c r="T253" s="102">
        <f t="shared" si="134"/>
        <v>0</v>
      </c>
      <c r="U253" s="102">
        <f t="shared" si="134"/>
        <v>0</v>
      </c>
      <c r="V253" s="102">
        <f t="shared" si="134"/>
        <v>0</v>
      </c>
      <c r="W253" s="102">
        <f t="shared" si="134"/>
        <v>0</v>
      </c>
      <c r="X253" s="102">
        <f t="shared" si="134"/>
        <v>0</v>
      </c>
      <c r="Y253" s="102">
        <f t="shared" si="134"/>
        <v>0</v>
      </c>
      <c r="Z253" s="102">
        <f t="shared" si="134"/>
        <v>0</v>
      </c>
      <c r="AA253" s="102">
        <f t="shared" si="134"/>
        <v>0</v>
      </c>
      <c r="AB253" s="102">
        <f t="shared" si="134"/>
        <v>0</v>
      </c>
      <c r="AC253" s="102">
        <f t="shared" si="134"/>
        <v>0</v>
      </c>
      <c r="AD253" s="102">
        <f t="shared" si="134"/>
        <v>0</v>
      </c>
      <c r="AE253" s="102">
        <f t="shared" si="134"/>
        <v>0</v>
      </c>
      <c r="AF253" s="102">
        <f t="shared" si="134"/>
        <v>0</v>
      </c>
      <c r="AG253" s="102">
        <f t="shared" si="134"/>
        <v>0</v>
      </c>
    </row>
    <row r="254" spans="2:33" outlineLevel="1">
      <c r="B254" s="83" t="str">
        <f t="shared" si="130"/>
        <v>Продукт 12</v>
      </c>
      <c r="C254" s="84" t="str">
        <f t="shared" si="132"/>
        <v>тыс.руб.</v>
      </c>
      <c r="D254" s="102">
        <f t="shared" si="133"/>
        <v>0</v>
      </c>
      <c r="E254" s="102">
        <f t="shared" si="134"/>
        <v>0</v>
      </c>
      <c r="F254" s="102">
        <f t="shared" si="134"/>
        <v>0</v>
      </c>
      <c r="G254" s="102">
        <f t="shared" si="134"/>
        <v>0</v>
      </c>
      <c r="H254" s="102">
        <f t="shared" si="134"/>
        <v>0</v>
      </c>
      <c r="I254" s="102">
        <f t="shared" si="134"/>
        <v>0</v>
      </c>
      <c r="J254" s="102">
        <f t="shared" si="134"/>
        <v>0</v>
      </c>
      <c r="K254" s="102">
        <f t="shared" si="134"/>
        <v>0</v>
      </c>
      <c r="L254" s="102">
        <f t="shared" si="134"/>
        <v>0</v>
      </c>
      <c r="M254" s="102">
        <f t="shared" si="134"/>
        <v>0</v>
      </c>
      <c r="N254" s="102">
        <f t="shared" si="134"/>
        <v>0</v>
      </c>
      <c r="O254" s="102">
        <f t="shared" si="134"/>
        <v>0</v>
      </c>
      <c r="P254" s="102">
        <f t="shared" si="134"/>
        <v>0</v>
      </c>
      <c r="Q254" s="102">
        <f t="shared" si="134"/>
        <v>0</v>
      </c>
      <c r="R254" s="102">
        <f t="shared" si="134"/>
        <v>0</v>
      </c>
      <c r="S254" s="102">
        <f t="shared" si="134"/>
        <v>0</v>
      </c>
      <c r="T254" s="102">
        <f t="shared" si="134"/>
        <v>0</v>
      </c>
      <c r="U254" s="102">
        <f t="shared" si="134"/>
        <v>0</v>
      </c>
      <c r="V254" s="102">
        <f t="shared" si="134"/>
        <v>0</v>
      </c>
      <c r="W254" s="102">
        <f t="shared" si="134"/>
        <v>0</v>
      </c>
      <c r="X254" s="102">
        <f t="shared" si="134"/>
        <v>0</v>
      </c>
      <c r="Y254" s="102">
        <f t="shared" si="134"/>
        <v>0</v>
      </c>
      <c r="Z254" s="102">
        <f t="shared" si="134"/>
        <v>0</v>
      </c>
      <c r="AA254" s="102">
        <f t="shared" si="134"/>
        <v>0</v>
      </c>
      <c r="AB254" s="102">
        <f t="shared" si="134"/>
        <v>0</v>
      </c>
      <c r="AC254" s="102">
        <f t="shared" si="134"/>
        <v>0</v>
      </c>
      <c r="AD254" s="102">
        <f t="shared" si="134"/>
        <v>0</v>
      </c>
      <c r="AE254" s="102">
        <f t="shared" si="134"/>
        <v>0</v>
      </c>
      <c r="AF254" s="102">
        <f t="shared" si="134"/>
        <v>0</v>
      </c>
      <c r="AG254" s="102">
        <f t="shared" si="134"/>
        <v>0</v>
      </c>
    </row>
    <row r="255" spans="2:33" outlineLevel="1">
      <c r="B255" s="83" t="str">
        <f t="shared" si="130"/>
        <v>Продукт 13</v>
      </c>
      <c r="C255" s="84" t="str">
        <f t="shared" si="132"/>
        <v>тыс.руб.</v>
      </c>
      <c r="D255" s="102">
        <f t="shared" si="133"/>
        <v>0</v>
      </c>
      <c r="E255" s="102">
        <f t="shared" si="134"/>
        <v>0</v>
      </c>
      <c r="F255" s="102">
        <f t="shared" si="134"/>
        <v>0</v>
      </c>
      <c r="G255" s="102">
        <f t="shared" si="134"/>
        <v>0</v>
      </c>
      <c r="H255" s="102">
        <f t="shared" si="134"/>
        <v>0</v>
      </c>
      <c r="I255" s="102">
        <f t="shared" si="134"/>
        <v>0</v>
      </c>
      <c r="J255" s="102">
        <f t="shared" si="134"/>
        <v>0</v>
      </c>
      <c r="K255" s="102">
        <f t="shared" si="134"/>
        <v>0</v>
      </c>
      <c r="L255" s="102">
        <f t="shared" si="134"/>
        <v>0</v>
      </c>
      <c r="M255" s="102">
        <f t="shared" si="134"/>
        <v>0</v>
      </c>
      <c r="N255" s="102">
        <f t="shared" si="134"/>
        <v>0</v>
      </c>
      <c r="O255" s="102">
        <f t="shared" si="134"/>
        <v>0</v>
      </c>
      <c r="P255" s="102">
        <f t="shared" si="134"/>
        <v>0</v>
      </c>
      <c r="Q255" s="102">
        <f t="shared" si="134"/>
        <v>0</v>
      </c>
      <c r="R255" s="102">
        <f t="shared" si="134"/>
        <v>0</v>
      </c>
      <c r="S255" s="102">
        <f t="shared" si="134"/>
        <v>0</v>
      </c>
      <c r="T255" s="102">
        <f t="shared" si="134"/>
        <v>0</v>
      </c>
      <c r="U255" s="102">
        <f t="shared" si="134"/>
        <v>0</v>
      </c>
      <c r="V255" s="102">
        <f t="shared" si="134"/>
        <v>0</v>
      </c>
      <c r="W255" s="102">
        <f t="shared" si="134"/>
        <v>0</v>
      </c>
      <c r="X255" s="102">
        <f t="shared" si="134"/>
        <v>0</v>
      </c>
      <c r="Y255" s="102">
        <f t="shared" si="134"/>
        <v>0</v>
      </c>
      <c r="Z255" s="102">
        <f t="shared" si="134"/>
        <v>0</v>
      </c>
      <c r="AA255" s="102">
        <f t="shared" si="134"/>
        <v>0</v>
      </c>
      <c r="AB255" s="102">
        <f t="shared" si="134"/>
        <v>0</v>
      </c>
      <c r="AC255" s="102">
        <f t="shared" si="134"/>
        <v>0</v>
      </c>
      <c r="AD255" s="102">
        <f t="shared" si="134"/>
        <v>0</v>
      </c>
      <c r="AE255" s="102">
        <f t="shared" si="134"/>
        <v>0</v>
      </c>
      <c r="AF255" s="102">
        <f t="shared" si="134"/>
        <v>0</v>
      </c>
      <c r="AG255" s="102">
        <f t="shared" si="134"/>
        <v>0</v>
      </c>
    </row>
    <row r="256" spans="2:33" outlineLevel="1">
      <c r="B256" s="83" t="str">
        <f t="shared" si="130"/>
        <v>Продукт 14</v>
      </c>
      <c r="C256" s="84" t="str">
        <f t="shared" si="132"/>
        <v>тыс.руб.</v>
      </c>
      <c r="D256" s="102">
        <f t="shared" si="133"/>
        <v>0</v>
      </c>
      <c r="E256" s="102">
        <f t="shared" si="134"/>
        <v>0</v>
      </c>
      <c r="F256" s="102">
        <f t="shared" si="134"/>
        <v>0</v>
      </c>
      <c r="G256" s="102">
        <f t="shared" si="134"/>
        <v>0</v>
      </c>
      <c r="H256" s="102">
        <f t="shared" si="134"/>
        <v>0</v>
      </c>
      <c r="I256" s="102">
        <f t="shared" si="134"/>
        <v>0</v>
      </c>
      <c r="J256" s="102">
        <f t="shared" si="134"/>
        <v>0</v>
      </c>
      <c r="K256" s="102">
        <f t="shared" si="134"/>
        <v>0</v>
      </c>
      <c r="L256" s="102">
        <f t="shared" si="134"/>
        <v>0</v>
      </c>
      <c r="M256" s="102">
        <f t="shared" si="134"/>
        <v>0</v>
      </c>
      <c r="N256" s="102">
        <f t="shared" si="134"/>
        <v>0</v>
      </c>
      <c r="O256" s="102">
        <f t="shared" si="134"/>
        <v>0</v>
      </c>
      <c r="P256" s="102">
        <f t="shared" si="134"/>
        <v>0</v>
      </c>
      <c r="Q256" s="102">
        <f t="shared" si="134"/>
        <v>0</v>
      </c>
      <c r="R256" s="102">
        <f t="shared" si="134"/>
        <v>0</v>
      </c>
      <c r="S256" s="102">
        <f t="shared" si="134"/>
        <v>0</v>
      </c>
      <c r="T256" s="102">
        <f t="shared" si="134"/>
        <v>0</v>
      </c>
      <c r="U256" s="102">
        <f t="shared" si="134"/>
        <v>0</v>
      </c>
      <c r="V256" s="102">
        <f t="shared" si="134"/>
        <v>0</v>
      </c>
      <c r="W256" s="102">
        <f t="shared" si="134"/>
        <v>0</v>
      </c>
      <c r="X256" s="102">
        <f t="shared" si="134"/>
        <v>0</v>
      </c>
      <c r="Y256" s="102">
        <f t="shared" si="134"/>
        <v>0</v>
      </c>
      <c r="Z256" s="102">
        <f t="shared" si="134"/>
        <v>0</v>
      </c>
      <c r="AA256" s="102">
        <f t="shared" si="134"/>
        <v>0</v>
      </c>
      <c r="AB256" s="102">
        <f t="shared" si="134"/>
        <v>0</v>
      </c>
      <c r="AC256" s="102">
        <f t="shared" si="134"/>
        <v>0</v>
      </c>
      <c r="AD256" s="102">
        <f t="shared" si="134"/>
        <v>0</v>
      </c>
      <c r="AE256" s="102">
        <f t="shared" si="134"/>
        <v>0</v>
      </c>
      <c r="AF256" s="102">
        <f t="shared" si="134"/>
        <v>0</v>
      </c>
      <c r="AG256" s="102">
        <f t="shared" si="134"/>
        <v>0</v>
      </c>
    </row>
    <row r="257" spans="2:36" outlineLevel="1">
      <c r="B257" s="83" t="str">
        <f t="shared" si="130"/>
        <v>Продукт 15</v>
      </c>
      <c r="C257" s="84" t="str">
        <f t="shared" si="132"/>
        <v>тыс.руб.</v>
      </c>
      <c r="D257" s="102">
        <f t="shared" si="133"/>
        <v>0</v>
      </c>
      <c r="E257" s="102">
        <f t="shared" si="134"/>
        <v>0</v>
      </c>
      <c r="F257" s="102">
        <f t="shared" si="134"/>
        <v>0</v>
      </c>
      <c r="G257" s="102">
        <f t="shared" si="134"/>
        <v>0</v>
      </c>
      <c r="H257" s="102">
        <f t="shared" si="134"/>
        <v>0</v>
      </c>
      <c r="I257" s="102">
        <f t="shared" si="134"/>
        <v>0</v>
      </c>
      <c r="J257" s="102">
        <f t="shared" si="134"/>
        <v>0</v>
      </c>
      <c r="K257" s="102">
        <f t="shared" si="134"/>
        <v>0</v>
      </c>
      <c r="L257" s="102">
        <f t="shared" si="134"/>
        <v>0</v>
      </c>
      <c r="M257" s="102">
        <f t="shared" si="134"/>
        <v>0</v>
      </c>
      <c r="N257" s="102">
        <f t="shared" si="134"/>
        <v>0</v>
      </c>
      <c r="O257" s="102">
        <f t="shared" si="134"/>
        <v>0</v>
      </c>
      <c r="P257" s="102">
        <f t="shared" si="134"/>
        <v>0</v>
      </c>
      <c r="Q257" s="102">
        <f t="shared" si="134"/>
        <v>0</v>
      </c>
      <c r="R257" s="102">
        <f t="shared" si="134"/>
        <v>0</v>
      </c>
      <c r="S257" s="102">
        <f t="shared" si="134"/>
        <v>0</v>
      </c>
      <c r="T257" s="102">
        <f t="shared" si="134"/>
        <v>0</v>
      </c>
      <c r="U257" s="102">
        <f t="shared" si="134"/>
        <v>0</v>
      </c>
      <c r="V257" s="102">
        <f t="shared" si="134"/>
        <v>0</v>
      </c>
      <c r="W257" s="102">
        <f t="shared" si="134"/>
        <v>0</v>
      </c>
      <c r="X257" s="102">
        <f t="shared" si="134"/>
        <v>0</v>
      </c>
      <c r="Y257" s="102">
        <f t="shared" si="134"/>
        <v>0</v>
      </c>
      <c r="Z257" s="102">
        <f t="shared" si="134"/>
        <v>0</v>
      </c>
      <c r="AA257" s="102">
        <f t="shared" si="134"/>
        <v>0</v>
      </c>
      <c r="AB257" s="102">
        <f t="shared" si="134"/>
        <v>0</v>
      </c>
      <c r="AC257" s="102">
        <f t="shared" si="134"/>
        <v>0</v>
      </c>
      <c r="AD257" s="102">
        <f t="shared" si="134"/>
        <v>0</v>
      </c>
      <c r="AE257" s="102">
        <f t="shared" si="134"/>
        <v>0</v>
      </c>
      <c r="AF257" s="102">
        <f t="shared" si="134"/>
        <v>0</v>
      </c>
      <c r="AG257" s="102">
        <f t="shared" si="134"/>
        <v>0</v>
      </c>
    </row>
    <row r="258" spans="2:36" outlineLevel="1">
      <c r="B258" s="83" t="str">
        <f t="shared" si="130"/>
        <v>Продукт 16</v>
      </c>
      <c r="C258" s="84" t="str">
        <f t="shared" si="132"/>
        <v>тыс.руб.</v>
      </c>
      <c r="D258" s="102">
        <f t="shared" si="133"/>
        <v>0</v>
      </c>
      <c r="E258" s="102">
        <f t="shared" si="134"/>
        <v>0</v>
      </c>
      <c r="F258" s="102">
        <f t="shared" si="134"/>
        <v>0</v>
      </c>
      <c r="G258" s="102">
        <f t="shared" si="134"/>
        <v>0</v>
      </c>
      <c r="H258" s="102">
        <f t="shared" si="134"/>
        <v>0</v>
      </c>
      <c r="I258" s="102">
        <f t="shared" si="134"/>
        <v>0</v>
      </c>
      <c r="J258" s="102">
        <f t="shared" si="134"/>
        <v>0</v>
      </c>
      <c r="K258" s="102">
        <f t="shared" si="134"/>
        <v>0</v>
      </c>
      <c r="L258" s="102">
        <f t="shared" si="134"/>
        <v>0</v>
      </c>
      <c r="M258" s="102">
        <f t="shared" si="134"/>
        <v>0</v>
      </c>
      <c r="N258" s="102">
        <f t="shared" si="134"/>
        <v>0</v>
      </c>
      <c r="O258" s="102">
        <f t="shared" si="134"/>
        <v>0</v>
      </c>
      <c r="P258" s="102">
        <f t="shared" si="134"/>
        <v>0</v>
      </c>
      <c r="Q258" s="102">
        <f t="shared" si="134"/>
        <v>0</v>
      </c>
      <c r="R258" s="102">
        <f t="shared" si="134"/>
        <v>0</v>
      </c>
      <c r="S258" s="102">
        <f t="shared" si="134"/>
        <v>0</v>
      </c>
      <c r="T258" s="102">
        <f t="shared" si="134"/>
        <v>0</v>
      </c>
      <c r="U258" s="102">
        <f t="shared" si="134"/>
        <v>0</v>
      </c>
      <c r="V258" s="102">
        <f t="shared" si="134"/>
        <v>0</v>
      </c>
      <c r="W258" s="102">
        <f t="shared" si="134"/>
        <v>0</v>
      </c>
      <c r="X258" s="102">
        <f t="shared" si="134"/>
        <v>0</v>
      </c>
      <c r="Y258" s="102">
        <f t="shared" si="134"/>
        <v>0</v>
      </c>
      <c r="Z258" s="102">
        <f t="shared" si="134"/>
        <v>0</v>
      </c>
      <c r="AA258" s="102">
        <f t="shared" si="134"/>
        <v>0</v>
      </c>
      <c r="AB258" s="102">
        <f t="shared" si="134"/>
        <v>0</v>
      </c>
      <c r="AC258" s="102">
        <f t="shared" si="134"/>
        <v>0</v>
      </c>
      <c r="AD258" s="102">
        <f t="shared" si="134"/>
        <v>0</v>
      </c>
      <c r="AE258" s="102">
        <f t="shared" si="134"/>
        <v>0</v>
      </c>
      <c r="AF258" s="102">
        <f t="shared" si="134"/>
        <v>0</v>
      </c>
      <c r="AG258" s="102">
        <f t="shared" si="134"/>
        <v>0</v>
      </c>
    </row>
    <row r="259" spans="2:36" outlineLevel="1">
      <c r="B259" s="83" t="str">
        <f t="shared" si="130"/>
        <v>Продукт 17</v>
      </c>
      <c r="C259" s="84" t="str">
        <f t="shared" si="132"/>
        <v>тыс.руб.</v>
      </c>
      <c r="D259" s="102">
        <f t="shared" si="133"/>
        <v>0</v>
      </c>
      <c r="E259" s="102">
        <f t="shared" si="134"/>
        <v>0</v>
      </c>
      <c r="F259" s="102">
        <f t="shared" si="134"/>
        <v>0</v>
      </c>
      <c r="G259" s="102">
        <f t="shared" si="134"/>
        <v>0</v>
      </c>
      <c r="H259" s="102">
        <f t="shared" si="134"/>
        <v>0</v>
      </c>
      <c r="I259" s="102">
        <f t="shared" si="134"/>
        <v>0</v>
      </c>
      <c r="J259" s="102">
        <f t="shared" si="134"/>
        <v>0</v>
      </c>
      <c r="K259" s="102">
        <f t="shared" si="134"/>
        <v>0</v>
      </c>
      <c r="L259" s="102">
        <f t="shared" si="134"/>
        <v>0</v>
      </c>
      <c r="M259" s="102">
        <f t="shared" si="134"/>
        <v>0</v>
      </c>
      <c r="N259" s="102">
        <f t="shared" si="134"/>
        <v>0</v>
      </c>
      <c r="O259" s="102">
        <f t="shared" si="134"/>
        <v>0</v>
      </c>
      <c r="P259" s="102">
        <f t="shared" si="134"/>
        <v>0</v>
      </c>
      <c r="Q259" s="102">
        <f t="shared" si="134"/>
        <v>0</v>
      </c>
      <c r="R259" s="102">
        <f t="shared" si="134"/>
        <v>0</v>
      </c>
      <c r="S259" s="102">
        <f t="shared" si="134"/>
        <v>0</v>
      </c>
      <c r="T259" s="102">
        <f t="shared" si="134"/>
        <v>0</v>
      </c>
      <c r="U259" s="102">
        <f t="shared" si="134"/>
        <v>0</v>
      </c>
      <c r="V259" s="102">
        <f t="shared" si="134"/>
        <v>0</v>
      </c>
      <c r="W259" s="102">
        <f t="shared" si="134"/>
        <v>0</v>
      </c>
      <c r="X259" s="102">
        <f t="shared" si="134"/>
        <v>0</v>
      </c>
      <c r="Y259" s="102">
        <f t="shared" si="134"/>
        <v>0</v>
      </c>
      <c r="Z259" s="102">
        <f t="shared" si="134"/>
        <v>0</v>
      </c>
      <c r="AA259" s="102">
        <f t="shared" si="134"/>
        <v>0</v>
      </c>
      <c r="AB259" s="102">
        <f t="shared" si="134"/>
        <v>0</v>
      </c>
      <c r="AC259" s="102">
        <f t="shared" si="134"/>
        <v>0</v>
      </c>
      <c r="AD259" s="102">
        <f t="shared" si="134"/>
        <v>0</v>
      </c>
      <c r="AE259" s="102">
        <f t="shared" si="134"/>
        <v>0</v>
      </c>
      <c r="AF259" s="102">
        <f t="shared" si="134"/>
        <v>0</v>
      </c>
      <c r="AG259" s="102">
        <f t="shared" si="134"/>
        <v>0</v>
      </c>
    </row>
    <row r="260" spans="2:36" outlineLevel="1">
      <c r="B260" s="83" t="str">
        <f t="shared" si="130"/>
        <v>Продукт 18</v>
      </c>
      <c r="C260" s="84" t="str">
        <f t="shared" si="132"/>
        <v>тыс.руб.</v>
      </c>
      <c r="D260" s="102">
        <f t="shared" si="133"/>
        <v>0</v>
      </c>
      <c r="E260" s="102">
        <f t="shared" si="134"/>
        <v>0</v>
      </c>
      <c r="F260" s="102">
        <f t="shared" si="134"/>
        <v>0</v>
      </c>
      <c r="G260" s="102">
        <f t="shared" si="134"/>
        <v>0</v>
      </c>
      <c r="H260" s="102">
        <f t="shared" si="134"/>
        <v>0</v>
      </c>
      <c r="I260" s="102">
        <f t="shared" si="134"/>
        <v>0</v>
      </c>
      <c r="J260" s="102">
        <f t="shared" si="134"/>
        <v>0</v>
      </c>
      <c r="K260" s="102">
        <f t="shared" si="134"/>
        <v>0</v>
      </c>
      <c r="L260" s="102">
        <f t="shared" si="134"/>
        <v>0</v>
      </c>
      <c r="M260" s="102">
        <f t="shared" si="134"/>
        <v>0</v>
      </c>
      <c r="N260" s="102">
        <f t="shared" si="134"/>
        <v>0</v>
      </c>
      <c r="O260" s="102">
        <f t="shared" si="134"/>
        <v>0</v>
      </c>
      <c r="P260" s="102">
        <f t="shared" si="134"/>
        <v>0</v>
      </c>
      <c r="Q260" s="102">
        <f t="shared" si="134"/>
        <v>0</v>
      </c>
      <c r="R260" s="102">
        <f t="shared" si="134"/>
        <v>0</v>
      </c>
      <c r="S260" s="102">
        <f t="shared" si="134"/>
        <v>0</v>
      </c>
      <c r="T260" s="102">
        <f t="shared" si="134"/>
        <v>0</v>
      </c>
      <c r="U260" s="102">
        <f t="shared" si="134"/>
        <v>0</v>
      </c>
      <c r="V260" s="102">
        <f t="shared" si="134"/>
        <v>0</v>
      </c>
      <c r="W260" s="102">
        <f t="shared" si="134"/>
        <v>0</v>
      </c>
      <c r="X260" s="102">
        <f t="shared" si="134"/>
        <v>0</v>
      </c>
      <c r="Y260" s="102">
        <f t="shared" si="134"/>
        <v>0</v>
      </c>
      <c r="Z260" s="102">
        <f t="shared" si="134"/>
        <v>0</v>
      </c>
      <c r="AA260" s="102">
        <f t="shared" si="134"/>
        <v>0</v>
      </c>
      <c r="AB260" s="102">
        <f t="shared" si="134"/>
        <v>0</v>
      </c>
      <c r="AC260" s="102">
        <f t="shared" si="134"/>
        <v>0</v>
      </c>
      <c r="AD260" s="102">
        <f t="shared" si="134"/>
        <v>0</v>
      </c>
      <c r="AE260" s="102">
        <f t="shared" si="134"/>
        <v>0</v>
      </c>
      <c r="AF260" s="102">
        <f t="shared" si="134"/>
        <v>0</v>
      </c>
      <c r="AG260" s="102">
        <f t="shared" si="134"/>
        <v>0</v>
      </c>
    </row>
    <row r="261" spans="2:36" outlineLevel="1">
      <c r="B261" s="83" t="str">
        <f t="shared" si="130"/>
        <v>Продукт 19</v>
      </c>
      <c r="C261" s="84" t="str">
        <f t="shared" si="132"/>
        <v>тыс.руб.</v>
      </c>
      <c r="D261" s="102">
        <f t="shared" si="133"/>
        <v>0</v>
      </c>
      <c r="E261" s="102">
        <f t="shared" si="134"/>
        <v>0</v>
      </c>
      <c r="F261" s="102">
        <f t="shared" si="134"/>
        <v>0</v>
      </c>
      <c r="G261" s="102">
        <f t="shared" si="134"/>
        <v>0</v>
      </c>
      <c r="H261" s="102">
        <f t="shared" ref="E261:AG262" si="135">ROUND(H179*$L235,2)</f>
        <v>0</v>
      </c>
      <c r="I261" s="102">
        <f t="shared" si="135"/>
        <v>0</v>
      </c>
      <c r="J261" s="102">
        <f t="shared" si="135"/>
        <v>0</v>
      </c>
      <c r="K261" s="102">
        <f t="shared" si="135"/>
        <v>0</v>
      </c>
      <c r="L261" s="102">
        <f t="shared" si="135"/>
        <v>0</v>
      </c>
      <c r="M261" s="102">
        <f t="shared" si="135"/>
        <v>0</v>
      </c>
      <c r="N261" s="102">
        <f t="shared" si="135"/>
        <v>0</v>
      </c>
      <c r="O261" s="102">
        <f t="shared" si="135"/>
        <v>0</v>
      </c>
      <c r="P261" s="102">
        <f t="shared" si="135"/>
        <v>0</v>
      </c>
      <c r="Q261" s="102">
        <f t="shared" si="135"/>
        <v>0</v>
      </c>
      <c r="R261" s="102">
        <f t="shared" si="135"/>
        <v>0</v>
      </c>
      <c r="S261" s="102">
        <f t="shared" si="135"/>
        <v>0</v>
      </c>
      <c r="T261" s="102">
        <f t="shared" si="135"/>
        <v>0</v>
      </c>
      <c r="U261" s="102">
        <f t="shared" si="135"/>
        <v>0</v>
      </c>
      <c r="V261" s="102">
        <f t="shared" si="135"/>
        <v>0</v>
      </c>
      <c r="W261" s="102">
        <f t="shared" si="135"/>
        <v>0</v>
      </c>
      <c r="X261" s="102">
        <f t="shared" si="135"/>
        <v>0</v>
      </c>
      <c r="Y261" s="102">
        <f t="shared" si="135"/>
        <v>0</v>
      </c>
      <c r="Z261" s="102">
        <f t="shared" si="135"/>
        <v>0</v>
      </c>
      <c r="AA261" s="102">
        <f t="shared" si="135"/>
        <v>0</v>
      </c>
      <c r="AB261" s="102">
        <f t="shared" si="135"/>
        <v>0</v>
      </c>
      <c r="AC261" s="102">
        <f t="shared" si="135"/>
        <v>0</v>
      </c>
      <c r="AD261" s="102">
        <f t="shared" si="135"/>
        <v>0</v>
      </c>
      <c r="AE261" s="102">
        <f t="shared" si="135"/>
        <v>0</v>
      </c>
      <c r="AF261" s="102">
        <f t="shared" si="135"/>
        <v>0</v>
      </c>
      <c r="AG261" s="102">
        <f t="shared" si="135"/>
        <v>0</v>
      </c>
    </row>
    <row r="262" spans="2:36" outlineLevel="1">
      <c r="B262" s="83" t="str">
        <f t="shared" si="130"/>
        <v>Продукт 20</v>
      </c>
      <c r="C262" s="84" t="str">
        <f t="shared" si="132"/>
        <v>тыс.руб.</v>
      </c>
      <c r="D262" s="102">
        <f t="shared" si="133"/>
        <v>0</v>
      </c>
      <c r="E262" s="102">
        <f t="shared" si="135"/>
        <v>0</v>
      </c>
      <c r="F262" s="102">
        <f t="shared" si="135"/>
        <v>0</v>
      </c>
      <c r="G262" s="102">
        <f t="shared" si="135"/>
        <v>0</v>
      </c>
      <c r="H262" s="102">
        <f t="shared" si="135"/>
        <v>0</v>
      </c>
      <c r="I262" s="102">
        <f t="shared" si="135"/>
        <v>0</v>
      </c>
      <c r="J262" s="102">
        <f t="shared" si="135"/>
        <v>0</v>
      </c>
      <c r="K262" s="102">
        <f t="shared" si="135"/>
        <v>0</v>
      </c>
      <c r="L262" s="102">
        <f t="shared" si="135"/>
        <v>0</v>
      </c>
      <c r="M262" s="102">
        <f t="shared" si="135"/>
        <v>0</v>
      </c>
      <c r="N262" s="102">
        <f t="shared" si="135"/>
        <v>0</v>
      </c>
      <c r="O262" s="102">
        <f t="shared" si="135"/>
        <v>0</v>
      </c>
      <c r="P262" s="102">
        <f t="shared" si="135"/>
        <v>0</v>
      </c>
      <c r="Q262" s="102">
        <f t="shared" si="135"/>
        <v>0</v>
      </c>
      <c r="R262" s="102">
        <f t="shared" si="135"/>
        <v>0</v>
      </c>
      <c r="S262" s="102">
        <f t="shared" si="135"/>
        <v>0</v>
      </c>
      <c r="T262" s="102">
        <f t="shared" si="135"/>
        <v>0</v>
      </c>
      <c r="U262" s="102">
        <f t="shared" si="135"/>
        <v>0</v>
      </c>
      <c r="V262" s="102">
        <f t="shared" si="135"/>
        <v>0</v>
      </c>
      <c r="W262" s="102">
        <f t="shared" si="135"/>
        <v>0</v>
      </c>
      <c r="X262" s="102">
        <f t="shared" si="135"/>
        <v>0</v>
      </c>
      <c r="Y262" s="102">
        <f t="shared" si="135"/>
        <v>0</v>
      </c>
      <c r="Z262" s="102">
        <f t="shared" si="135"/>
        <v>0</v>
      </c>
      <c r="AA262" s="102">
        <f t="shared" si="135"/>
        <v>0</v>
      </c>
      <c r="AB262" s="102">
        <f t="shared" si="135"/>
        <v>0</v>
      </c>
      <c r="AC262" s="102">
        <f t="shared" si="135"/>
        <v>0</v>
      </c>
      <c r="AD262" s="102">
        <f t="shared" si="135"/>
        <v>0</v>
      </c>
      <c r="AE262" s="102">
        <f t="shared" si="135"/>
        <v>0</v>
      </c>
      <c r="AF262" s="102">
        <f t="shared" si="135"/>
        <v>0</v>
      </c>
      <c r="AG262" s="102">
        <f t="shared" si="135"/>
        <v>0</v>
      </c>
    </row>
    <row r="263" spans="2:36">
      <c r="B263" s="90" t="s">
        <v>376</v>
      </c>
      <c r="C263" s="180" t="s">
        <v>93</v>
      </c>
      <c r="D263" s="91">
        <f>SUM(D243:D262)</f>
        <v>0</v>
      </c>
      <c r="E263" s="91">
        <f t="shared" ref="E263:AG263" si="136">SUM(E243:E262)</f>
        <v>0</v>
      </c>
      <c r="F263" s="91">
        <f t="shared" si="136"/>
        <v>0</v>
      </c>
      <c r="G263" s="91">
        <f t="shared" si="136"/>
        <v>0</v>
      </c>
      <c r="H263" s="91">
        <f t="shared" si="136"/>
        <v>0</v>
      </c>
      <c r="I263" s="91">
        <f t="shared" si="136"/>
        <v>0</v>
      </c>
      <c r="J263" s="91">
        <f t="shared" si="136"/>
        <v>0</v>
      </c>
      <c r="K263" s="91">
        <f t="shared" si="136"/>
        <v>0</v>
      </c>
      <c r="L263" s="91">
        <f t="shared" si="136"/>
        <v>0</v>
      </c>
      <c r="M263" s="91">
        <f t="shared" si="136"/>
        <v>0</v>
      </c>
      <c r="N263" s="91">
        <f t="shared" si="136"/>
        <v>0</v>
      </c>
      <c r="O263" s="91">
        <f t="shared" si="136"/>
        <v>0</v>
      </c>
      <c r="P263" s="91">
        <f t="shared" si="136"/>
        <v>0</v>
      </c>
      <c r="Q263" s="91">
        <f t="shared" si="136"/>
        <v>0</v>
      </c>
      <c r="R263" s="91">
        <f t="shared" si="136"/>
        <v>0</v>
      </c>
      <c r="S263" s="91">
        <f t="shared" si="136"/>
        <v>0</v>
      </c>
      <c r="T263" s="91">
        <f t="shared" si="136"/>
        <v>0</v>
      </c>
      <c r="U263" s="91">
        <f t="shared" si="136"/>
        <v>0</v>
      </c>
      <c r="V263" s="91">
        <f t="shared" si="136"/>
        <v>0</v>
      </c>
      <c r="W263" s="91">
        <f t="shared" si="136"/>
        <v>0</v>
      </c>
      <c r="X263" s="91">
        <f t="shared" si="136"/>
        <v>0</v>
      </c>
      <c r="Y263" s="91">
        <f t="shared" si="136"/>
        <v>0</v>
      </c>
      <c r="Z263" s="91">
        <f t="shared" si="136"/>
        <v>0</v>
      </c>
      <c r="AA263" s="91">
        <f t="shared" si="136"/>
        <v>0</v>
      </c>
      <c r="AB263" s="91">
        <f t="shared" si="136"/>
        <v>0</v>
      </c>
      <c r="AC263" s="91">
        <f t="shared" si="136"/>
        <v>0</v>
      </c>
      <c r="AD263" s="91">
        <f t="shared" si="136"/>
        <v>0</v>
      </c>
      <c r="AE263" s="91">
        <f t="shared" si="136"/>
        <v>0</v>
      </c>
      <c r="AF263" s="91">
        <f t="shared" si="136"/>
        <v>0</v>
      </c>
      <c r="AG263" s="91">
        <f t="shared" si="136"/>
        <v>0</v>
      </c>
    </row>
    <row r="264" spans="2:36">
      <c r="B264" s="90" t="s">
        <v>377</v>
      </c>
      <c r="C264" s="180" t="s">
        <v>93</v>
      </c>
      <c r="D264" s="91">
        <f>ROUND(SUMPRODUCT(D161:D180,$M$217:$M$236),2)</f>
        <v>0</v>
      </c>
      <c r="E264" s="91">
        <f t="shared" ref="E264:AG264" si="137">ROUND(SUMPRODUCT(E161:E180,$M$217:$M$236),2)</f>
        <v>0</v>
      </c>
      <c r="F264" s="91">
        <f t="shared" si="137"/>
        <v>0</v>
      </c>
      <c r="G264" s="91">
        <f t="shared" si="137"/>
        <v>0</v>
      </c>
      <c r="H264" s="91">
        <f t="shared" si="137"/>
        <v>0</v>
      </c>
      <c r="I264" s="91">
        <f t="shared" si="137"/>
        <v>0</v>
      </c>
      <c r="J264" s="91">
        <f t="shared" si="137"/>
        <v>0</v>
      </c>
      <c r="K264" s="91">
        <f t="shared" si="137"/>
        <v>0</v>
      </c>
      <c r="L264" s="91">
        <f t="shared" si="137"/>
        <v>0</v>
      </c>
      <c r="M264" s="91">
        <f t="shared" si="137"/>
        <v>0</v>
      </c>
      <c r="N264" s="91">
        <f t="shared" si="137"/>
        <v>0</v>
      </c>
      <c r="O264" s="91">
        <f t="shared" si="137"/>
        <v>0</v>
      </c>
      <c r="P264" s="91">
        <f t="shared" si="137"/>
        <v>0</v>
      </c>
      <c r="Q264" s="91">
        <f t="shared" si="137"/>
        <v>0</v>
      </c>
      <c r="R264" s="91">
        <f t="shared" si="137"/>
        <v>0</v>
      </c>
      <c r="S264" s="91">
        <f t="shared" si="137"/>
        <v>0</v>
      </c>
      <c r="T264" s="91">
        <f t="shared" si="137"/>
        <v>0</v>
      </c>
      <c r="U264" s="91">
        <f t="shared" si="137"/>
        <v>0</v>
      </c>
      <c r="V264" s="91">
        <f t="shared" si="137"/>
        <v>0</v>
      </c>
      <c r="W264" s="91">
        <f t="shared" si="137"/>
        <v>0</v>
      </c>
      <c r="X264" s="91">
        <f t="shared" si="137"/>
        <v>0</v>
      </c>
      <c r="Y264" s="91">
        <f t="shared" si="137"/>
        <v>0</v>
      </c>
      <c r="Z264" s="91">
        <f t="shared" si="137"/>
        <v>0</v>
      </c>
      <c r="AA264" s="91">
        <f t="shared" si="137"/>
        <v>0</v>
      </c>
      <c r="AB264" s="91">
        <f t="shared" si="137"/>
        <v>0</v>
      </c>
      <c r="AC264" s="91">
        <f t="shared" si="137"/>
        <v>0</v>
      </c>
      <c r="AD264" s="91">
        <f t="shared" si="137"/>
        <v>0</v>
      </c>
      <c r="AE264" s="91">
        <f t="shared" si="137"/>
        <v>0</v>
      </c>
      <c r="AF264" s="91">
        <f t="shared" si="137"/>
        <v>0</v>
      </c>
      <c r="AG264" s="91">
        <f t="shared" si="137"/>
        <v>0</v>
      </c>
    </row>
    <row r="265" spans="2:36">
      <c r="B265" s="90" t="s">
        <v>378</v>
      </c>
      <c r="C265" s="180" t="s">
        <v>93</v>
      </c>
      <c r="D265" s="91">
        <f>D263-D264</f>
        <v>0</v>
      </c>
      <c r="E265" s="91">
        <f t="shared" ref="E265:AG265" si="138">E263-E264</f>
        <v>0</v>
      </c>
      <c r="F265" s="91">
        <f t="shared" si="138"/>
        <v>0</v>
      </c>
      <c r="G265" s="91">
        <f t="shared" si="138"/>
        <v>0</v>
      </c>
      <c r="H265" s="91">
        <f t="shared" si="138"/>
        <v>0</v>
      </c>
      <c r="I265" s="91">
        <f t="shared" si="138"/>
        <v>0</v>
      </c>
      <c r="J265" s="91">
        <f t="shared" si="138"/>
        <v>0</v>
      </c>
      <c r="K265" s="91">
        <f t="shared" si="138"/>
        <v>0</v>
      </c>
      <c r="L265" s="91">
        <f t="shared" si="138"/>
        <v>0</v>
      </c>
      <c r="M265" s="91">
        <f t="shared" si="138"/>
        <v>0</v>
      </c>
      <c r="N265" s="91">
        <f t="shared" si="138"/>
        <v>0</v>
      </c>
      <c r="O265" s="91">
        <f t="shared" si="138"/>
        <v>0</v>
      </c>
      <c r="P265" s="91">
        <f t="shared" si="138"/>
        <v>0</v>
      </c>
      <c r="Q265" s="91">
        <f t="shared" si="138"/>
        <v>0</v>
      </c>
      <c r="R265" s="91">
        <f t="shared" si="138"/>
        <v>0</v>
      </c>
      <c r="S265" s="91">
        <f t="shared" si="138"/>
        <v>0</v>
      </c>
      <c r="T265" s="91">
        <f t="shared" si="138"/>
        <v>0</v>
      </c>
      <c r="U265" s="91">
        <f t="shared" si="138"/>
        <v>0</v>
      </c>
      <c r="V265" s="91">
        <f t="shared" si="138"/>
        <v>0</v>
      </c>
      <c r="W265" s="91">
        <f t="shared" si="138"/>
        <v>0</v>
      </c>
      <c r="X265" s="91">
        <f t="shared" si="138"/>
        <v>0</v>
      </c>
      <c r="Y265" s="91">
        <f t="shared" si="138"/>
        <v>0</v>
      </c>
      <c r="Z265" s="91">
        <f t="shared" si="138"/>
        <v>0</v>
      </c>
      <c r="AA265" s="91">
        <f t="shared" si="138"/>
        <v>0</v>
      </c>
      <c r="AB265" s="91">
        <f t="shared" si="138"/>
        <v>0</v>
      </c>
      <c r="AC265" s="91">
        <f t="shared" si="138"/>
        <v>0</v>
      </c>
      <c r="AD265" s="91">
        <f t="shared" si="138"/>
        <v>0</v>
      </c>
      <c r="AE265" s="91">
        <f t="shared" si="138"/>
        <v>0</v>
      </c>
      <c r="AF265" s="91">
        <f t="shared" si="138"/>
        <v>0</v>
      </c>
      <c r="AG265" s="91">
        <f t="shared" si="138"/>
        <v>0</v>
      </c>
    </row>
    <row r="266" spans="2:36">
      <c r="B266" s="90" t="s">
        <v>381</v>
      </c>
      <c r="C266" s="180" t="s">
        <v>93</v>
      </c>
      <c r="D266" s="91">
        <f>-ROUND($H$76*O76,2)</f>
        <v>0</v>
      </c>
      <c r="E266" s="91">
        <f>-ROUND($H$76*P76,2)</f>
        <v>0</v>
      </c>
      <c r="F266" s="91">
        <f t="shared" ref="F266:AG266" si="139">-ROUND($H$76*Q76,2)</f>
        <v>-3952.65</v>
      </c>
      <c r="G266" s="91">
        <f t="shared" si="139"/>
        <v>-439.18</v>
      </c>
      <c r="H266" s="91">
        <f t="shared" si="139"/>
        <v>0</v>
      </c>
      <c r="I266" s="91">
        <f t="shared" si="139"/>
        <v>0</v>
      </c>
      <c r="J266" s="91">
        <f t="shared" si="139"/>
        <v>0</v>
      </c>
      <c r="K266" s="91">
        <f t="shared" si="139"/>
        <v>0</v>
      </c>
      <c r="L266" s="91">
        <f t="shared" si="139"/>
        <v>0</v>
      </c>
      <c r="M266" s="91">
        <f t="shared" si="139"/>
        <v>0</v>
      </c>
      <c r="N266" s="91">
        <f t="shared" si="139"/>
        <v>0</v>
      </c>
      <c r="O266" s="91">
        <f t="shared" si="139"/>
        <v>0</v>
      </c>
      <c r="P266" s="91">
        <f t="shared" si="139"/>
        <v>0</v>
      </c>
      <c r="Q266" s="91">
        <f t="shared" si="139"/>
        <v>0</v>
      </c>
      <c r="R266" s="91">
        <f t="shared" si="139"/>
        <v>0</v>
      </c>
      <c r="S266" s="91">
        <f t="shared" si="139"/>
        <v>0</v>
      </c>
      <c r="T266" s="91">
        <f t="shared" si="139"/>
        <v>0</v>
      </c>
      <c r="U266" s="91">
        <f t="shared" si="139"/>
        <v>0</v>
      </c>
      <c r="V266" s="91">
        <f t="shared" si="139"/>
        <v>0</v>
      </c>
      <c r="W266" s="91">
        <f t="shared" si="139"/>
        <v>0</v>
      </c>
      <c r="X266" s="91">
        <f t="shared" si="139"/>
        <v>0</v>
      </c>
      <c r="Y266" s="91">
        <f t="shared" si="139"/>
        <v>0</v>
      </c>
      <c r="Z266" s="91">
        <f t="shared" si="139"/>
        <v>0</v>
      </c>
      <c r="AA266" s="91">
        <f t="shared" si="139"/>
        <v>0</v>
      </c>
      <c r="AB266" s="91">
        <f t="shared" si="139"/>
        <v>0</v>
      </c>
      <c r="AC266" s="91">
        <f t="shared" si="139"/>
        <v>0</v>
      </c>
      <c r="AD266" s="91">
        <f t="shared" si="139"/>
        <v>0</v>
      </c>
      <c r="AE266" s="91">
        <f t="shared" si="139"/>
        <v>0</v>
      </c>
      <c r="AF266" s="91">
        <f t="shared" si="139"/>
        <v>0</v>
      </c>
      <c r="AG266" s="91">
        <f t="shared" si="139"/>
        <v>0</v>
      </c>
    </row>
    <row r="267" spans="2:36">
      <c r="B267" s="90" t="s">
        <v>382</v>
      </c>
      <c r="C267" s="180" t="s">
        <v>93</v>
      </c>
      <c r="D267" s="91">
        <f>IF($H$16=справочник!$A$16,ROUND(D266/(1+$E$46),2),0)</f>
        <v>0</v>
      </c>
      <c r="E267" s="91">
        <f>IF($H$16=справочник!$A$16,ROUND(E266/(1+$E$46),2),0)</f>
        <v>0</v>
      </c>
      <c r="F267" s="91">
        <f>IF($H$16=справочник!$A$16,ROUND(F266/(1+$E$46),2),F266)</f>
        <v>-3239.88</v>
      </c>
      <c r="G267" s="91">
        <f>IF($H$16=справочник!$A$16,ROUND(G266/(1+$E$46),2),G266)</f>
        <v>-359.98</v>
      </c>
      <c r="H267" s="91">
        <f>IF($H$16=справочник!$A$16,ROUND(H266/(1+$E$46),2),H266)</f>
        <v>0</v>
      </c>
      <c r="I267" s="91">
        <f>IF($H$16=справочник!$A$16,ROUND(I266/(1+$E$46),2),I266)</f>
        <v>0</v>
      </c>
      <c r="J267" s="91">
        <f>IF($H$16=справочник!$A$16,ROUND(J266/(1+$E$46),2),J266)</f>
        <v>0</v>
      </c>
      <c r="K267" s="91">
        <f>IF($H$16=справочник!$A$16,ROUND(K266/(1+$E$46),2),K266)</f>
        <v>0</v>
      </c>
      <c r="L267" s="91">
        <f>IF($H$16=справочник!$A$16,ROUND(L266/(1+$E$46),2),L266)</f>
        <v>0</v>
      </c>
      <c r="M267" s="91">
        <f>IF($H$16=справочник!$A$16,ROUND(M266/(1+$E$46),2),M266)</f>
        <v>0</v>
      </c>
      <c r="N267" s="91">
        <f>IF($H$16=справочник!$A$16,ROUND(N266/(1+$E$46),2),N266)</f>
        <v>0</v>
      </c>
      <c r="O267" s="91">
        <f>IF($H$16=справочник!$A$16,ROUND(O266/(1+$E$46),2),O266)</f>
        <v>0</v>
      </c>
      <c r="P267" s="91">
        <f>IF($H$16=справочник!$A$16,ROUND(P266/(1+$E$46),2),P266)</f>
        <v>0</v>
      </c>
      <c r="Q267" s="91">
        <f>IF($H$16=справочник!$A$16,ROUND(Q266/(1+$E$46),2),Q266)</f>
        <v>0</v>
      </c>
      <c r="R267" s="91">
        <f>IF($H$16=справочник!$A$16,ROUND(R266/(1+$E$46),2),R266)</f>
        <v>0</v>
      </c>
      <c r="S267" s="91">
        <f>IF($H$16=справочник!$A$16,ROUND(S266/(1+$E$46),2),S266)</f>
        <v>0</v>
      </c>
      <c r="T267" s="91">
        <f>IF($H$16=справочник!$A$16,ROUND(T266/(1+$E$46),2),T266)</f>
        <v>0</v>
      </c>
      <c r="U267" s="91">
        <f>IF($H$16=справочник!$A$16,ROUND(U266/(1+$E$46),2),U266)</f>
        <v>0</v>
      </c>
      <c r="V267" s="91">
        <f>IF($H$16=справочник!$A$16,ROUND(V266/(1+$E$46),2),V266)</f>
        <v>0</v>
      </c>
      <c r="W267" s="91">
        <f>IF($H$16=справочник!$A$16,ROUND(W266/(1+$E$46),2),W266)</f>
        <v>0</v>
      </c>
      <c r="X267" s="91">
        <f>IF($H$16=справочник!$A$16,ROUND(X266/(1+$E$46),2),X266)</f>
        <v>0</v>
      </c>
      <c r="Y267" s="91">
        <f>IF($H$16=справочник!$A$16,ROUND(Y266/(1+$E$46),2),Y266)</f>
        <v>0</v>
      </c>
      <c r="Z267" s="91">
        <f>IF($H$16=справочник!$A$16,ROUND(Z266/(1+$E$46),2),Z266)</f>
        <v>0</v>
      </c>
      <c r="AA267" s="91">
        <f>IF($H$16=справочник!$A$16,ROUND(AA266/(1+$E$46),2),AA266)</f>
        <v>0</v>
      </c>
      <c r="AB267" s="91">
        <f>IF($H$16=справочник!$A$16,ROUND(AB266/(1+$E$46),2),AB266)</f>
        <v>0</v>
      </c>
      <c r="AC267" s="91">
        <f>IF($H$16=справочник!$A$16,ROUND(AC266/(1+$E$46),2),AC266)</f>
        <v>0</v>
      </c>
      <c r="AD267" s="91">
        <f>IF($H$16=справочник!$A$16,ROUND(AD266/(1+$E$46),2),AD266)</f>
        <v>0</v>
      </c>
      <c r="AE267" s="91">
        <f>IF($H$16=справочник!$A$16,ROUND(AE266/(1+$E$46),2),AE266)</f>
        <v>0</v>
      </c>
      <c r="AF267" s="91">
        <f>IF($H$16=справочник!$A$16,ROUND(AF266/(1+$E$46),2),AF266)</f>
        <v>0</v>
      </c>
      <c r="AG267" s="91">
        <f>IF($H$16=справочник!$A$16,ROUND(AG266/(1+$E$46),2),AG266)</f>
        <v>0</v>
      </c>
    </row>
    <row r="268" spans="2:36">
      <c r="B268" s="90" t="s">
        <v>383</v>
      </c>
      <c r="C268" s="180" t="s">
        <v>93</v>
      </c>
      <c r="D268" s="91">
        <f>D266-D267</f>
        <v>0</v>
      </c>
      <c r="E268" s="91">
        <f t="shared" ref="E268:AG268" si="140">E266-E267</f>
        <v>0</v>
      </c>
      <c r="F268" s="91">
        <f t="shared" si="140"/>
        <v>-712.77</v>
      </c>
      <c r="G268" s="91">
        <f t="shared" si="140"/>
        <v>-79.199999999999989</v>
      </c>
      <c r="H268" s="91">
        <f t="shared" si="140"/>
        <v>0</v>
      </c>
      <c r="I268" s="91">
        <f t="shared" si="140"/>
        <v>0</v>
      </c>
      <c r="J268" s="91">
        <f t="shared" si="140"/>
        <v>0</v>
      </c>
      <c r="K268" s="91">
        <f t="shared" si="140"/>
        <v>0</v>
      </c>
      <c r="L268" s="91">
        <f t="shared" si="140"/>
        <v>0</v>
      </c>
      <c r="M268" s="91">
        <f t="shared" si="140"/>
        <v>0</v>
      </c>
      <c r="N268" s="91">
        <f t="shared" si="140"/>
        <v>0</v>
      </c>
      <c r="O268" s="91">
        <f t="shared" si="140"/>
        <v>0</v>
      </c>
      <c r="P268" s="91">
        <f t="shared" si="140"/>
        <v>0</v>
      </c>
      <c r="Q268" s="91">
        <f t="shared" si="140"/>
        <v>0</v>
      </c>
      <c r="R268" s="91">
        <f t="shared" si="140"/>
        <v>0</v>
      </c>
      <c r="S268" s="91">
        <f t="shared" si="140"/>
        <v>0</v>
      </c>
      <c r="T268" s="91">
        <f t="shared" si="140"/>
        <v>0</v>
      </c>
      <c r="U268" s="91">
        <f t="shared" si="140"/>
        <v>0</v>
      </c>
      <c r="V268" s="91">
        <f t="shared" si="140"/>
        <v>0</v>
      </c>
      <c r="W268" s="91">
        <f t="shared" si="140"/>
        <v>0</v>
      </c>
      <c r="X268" s="91">
        <f t="shared" si="140"/>
        <v>0</v>
      </c>
      <c r="Y268" s="91">
        <f t="shared" si="140"/>
        <v>0</v>
      </c>
      <c r="Z268" s="91">
        <f t="shared" si="140"/>
        <v>0</v>
      </c>
      <c r="AA268" s="91">
        <f t="shared" si="140"/>
        <v>0</v>
      </c>
      <c r="AB268" s="91">
        <f t="shared" si="140"/>
        <v>0</v>
      </c>
      <c r="AC268" s="91">
        <f t="shared" si="140"/>
        <v>0</v>
      </c>
      <c r="AD268" s="91">
        <f t="shared" si="140"/>
        <v>0</v>
      </c>
      <c r="AE268" s="91">
        <f t="shared" si="140"/>
        <v>0</v>
      </c>
      <c r="AF268" s="91">
        <f t="shared" si="140"/>
        <v>0</v>
      </c>
      <c r="AG268" s="91">
        <f t="shared" si="140"/>
        <v>0</v>
      </c>
    </row>
    <row r="270" spans="2:36" ht="27" customHeight="1">
      <c r="B270" s="62" t="s">
        <v>183</v>
      </c>
      <c r="C270" s="60"/>
      <c r="D270" s="60"/>
      <c r="E270" s="60"/>
      <c r="F270" s="60"/>
    </row>
    <row r="271" spans="2:36" ht="15" customHeight="1">
      <c r="B271" s="354" t="s">
        <v>62</v>
      </c>
      <c r="C271" s="354" t="s">
        <v>177</v>
      </c>
      <c r="D271" s="354" t="s">
        <v>107</v>
      </c>
      <c r="E271" s="354" t="s">
        <v>137</v>
      </c>
      <c r="F271" s="354" t="s">
        <v>178</v>
      </c>
      <c r="G271" s="72">
        <f t="shared" ref="G271:P274" si="141">O52</f>
        <v>1</v>
      </c>
      <c r="H271" s="72">
        <f t="shared" si="141"/>
        <v>2</v>
      </c>
      <c r="I271" s="72">
        <f t="shared" si="141"/>
        <v>3</v>
      </c>
      <c r="J271" s="72">
        <f t="shared" si="141"/>
        <v>4</v>
      </c>
      <c r="K271" s="72">
        <f t="shared" si="141"/>
        <v>5</v>
      </c>
      <c r="L271" s="72">
        <f t="shared" si="141"/>
        <v>6</v>
      </c>
      <c r="M271" s="72">
        <f t="shared" si="141"/>
        <v>7</v>
      </c>
      <c r="N271" s="72">
        <f t="shared" si="141"/>
        <v>8</v>
      </c>
      <c r="O271" s="72">
        <f t="shared" si="141"/>
        <v>9</v>
      </c>
      <c r="P271" s="72">
        <f t="shared" si="141"/>
        <v>10</v>
      </c>
      <c r="Q271" s="72">
        <f t="shared" ref="Q271:Z274" si="142">Y52</f>
        <v>11</v>
      </c>
      <c r="R271" s="72">
        <f t="shared" si="142"/>
        <v>12</v>
      </c>
      <c r="S271" s="72">
        <f t="shared" si="142"/>
        <v>13</v>
      </c>
      <c r="T271" s="72">
        <f t="shared" si="142"/>
        <v>14</v>
      </c>
      <c r="U271" s="72">
        <f t="shared" si="142"/>
        <v>15</v>
      </c>
      <c r="V271" s="72">
        <f t="shared" si="142"/>
        <v>16</v>
      </c>
      <c r="W271" s="72">
        <f t="shared" si="142"/>
        <v>17</v>
      </c>
      <c r="X271" s="72">
        <f t="shared" si="142"/>
        <v>18</v>
      </c>
      <c r="Y271" s="72">
        <f t="shared" si="142"/>
        <v>19</v>
      </c>
      <c r="Z271" s="72">
        <f t="shared" si="142"/>
        <v>20</v>
      </c>
      <c r="AA271" s="72">
        <f t="shared" ref="AA271:AJ274" si="143">AI52</f>
        <v>21</v>
      </c>
      <c r="AB271" s="72">
        <f t="shared" si="143"/>
        <v>22</v>
      </c>
      <c r="AC271" s="72">
        <f t="shared" si="143"/>
        <v>23</v>
      </c>
      <c r="AD271" s="72">
        <f t="shared" si="143"/>
        <v>24</v>
      </c>
      <c r="AE271" s="72">
        <f t="shared" si="143"/>
        <v>25</v>
      </c>
      <c r="AF271" s="72">
        <f t="shared" si="143"/>
        <v>26</v>
      </c>
      <c r="AG271" s="72">
        <f t="shared" si="143"/>
        <v>27</v>
      </c>
      <c r="AH271" s="72">
        <f t="shared" si="143"/>
        <v>28</v>
      </c>
      <c r="AI271" s="72">
        <f t="shared" si="143"/>
        <v>29</v>
      </c>
      <c r="AJ271" s="72">
        <f t="shared" si="143"/>
        <v>30</v>
      </c>
    </row>
    <row r="272" spans="2:36">
      <c r="B272" s="355"/>
      <c r="C272" s="355"/>
      <c r="D272" s="355"/>
      <c r="E272" s="355"/>
      <c r="F272" s="355"/>
      <c r="G272" s="73">
        <f t="shared" si="141"/>
        <v>46023</v>
      </c>
      <c r="H272" s="73">
        <f t="shared" si="141"/>
        <v>46113</v>
      </c>
      <c r="I272" s="73">
        <f t="shared" si="141"/>
        <v>46204</v>
      </c>
      <c r="J272" s="73">
        <f t="shared" si="141"/>
        <v>46296</v>
      </c>
      <c r="K272" s="73">
        <f t="shared" si="141"/>
        <v>46388</v>
      </c>
      <c r="L272" s="73">
        <f t="shared" si="141"/>
        <v>46478</v>
      </c>
      <c r="M272" s="73">
        <f t="shared" si="141"/>
        <v>46569</v>
      </c>
      <c r="N272" s="73">
        <f t="shared" si="141"/>
        <v>46661</v>
      </c>
      <c r="O272" s="73">
        <f t="shared" si="141"/>
        <v>46753</v>
      </c>
      <c r="P272" s="73">
        <f t="shared" si="141"/>
        <v>46844</v>
      </c>
      <c r="Q272" s="73">
        <f t="shared" si="142"/>
        <v>46935</v>
      </c>
      <c r="R272" s="73">
        <f t="shared" si="142"/>
        <v>47027</v>
      </c>
      <c r="S272" s="73">
        <f t="shared" si="142"/>
        <v>47119</v>
      </c>
      <c r="T272" s="73">
        <f t="shared" si="142"/>
        <v>47209</v>
      </c>
      <c r="U272" s="73">
        <f t="shared" si="142"/>
        <v>47300</v>
      </c>
      <c r="V272" s="73">
        <f t="shared" si="142"/>
        <v>47392</v>
      </c>
      <c r="W272" s="73">
        <f t="shared" si="142"/>
        <v>47484</v>
      </c>
      <c r="X272" s="73">
        <f t="shared" si="142"/>
        <v>47574</v>
      </c>
      <c r="Y272" s="73">
        <f t="shared" si="142"/>
        <v>47665</v>
      </c>
      <c r="Z272" s="73">
        <f t="shared" si="142"/>
        <v>47757</v>
      </c>
      <c r="AA272" s="73">
        <f t="shared" si="143"/>
        <v>47849</v>
      </c>
      <c r="AB272" s="73">
        <f t="shared" si="143"/>
        <v>47939</v>
      </c>
      <c r="AC272" s="73">
        <f t="shared" si="143"/>
        <v>48030</v>
      </c>
      <c r="AD272" s="73">
        <f t="shared" si="143"/>
        <v>48122</v>
      </c>
      <c r="AE272" s="73">
        <f t="shared" si="143"/>
        <v>48214</v>
      </c>
      <c r="AF272" s="73">
        <f t="shared" si="143"/>
        <v>48305</v>
      </c>
      <c r="AG272" s="73">
        <f t="shared" si="143"/>
        <v>48396</v>
      </c>
      <c r="AH272" s="73">
        <f t="shared" si="143"/>
        <v>48488</v>
      </c>
      <c r="AI272" s="73">
        <f t="shared" si="143"/>
        <v>48580</v>
      </c>
      <c r="AJ272" s="73">
        <f t="shared" si="143"/>
        <v>48670</v>
      </c>
    </row>
    <row r="273" spans="2:36">
      <c r="B273" s="355"/>
      <c r="C273" s="355"/>
      <c r="D273" s="355"/>
      <c r="E273" s="355"/>
      <c r="F273" s="355"/>
      <c r="G273" s="73">
        <f t="shared" si="141"/>
        <v>46112</v>
      </c>
      <c r="H273" s="73">
        <f t="shared" si="141"/>
        <v>46203</v>
      </c>
      <c r="I273" s="73">
        <f t="shared" si="141"/>
        <v>46295</v>
      </c>
      <c r="J273" s="73">
        <f t="shared" si="141"/>
        <v>46387</v>
      </c>
      <c r="K273" s="73">
        <f t="shared" si="141"/>
        <v>46477</v>
      </c>
      <c r="L273" s="73">
        <f t="shared" si="141"/>
        <v>46568</v>
      </c>
      <c r="M273" s="73">
        <f t="shared" si="141"/>
        <v>46660</v>
      </c>
      <c r="N273" s="73">
        <f t="shared" si="141"/>
        <v>46752</v>
      </c>
      <c r="O273" s="73">
        <f t="shared" si="141"/>
        <v>46843</v>
      </c>
      <c r="P273" s="73">
        <f t="shared" si="141"/>
        <v>46934</v>
      </c>
      <c r="Q273" s="73">
        <f t="shared" si="142"/>
        <v>47026</v>
      </c>
      <c r="R273" s="73">
        <f t="shared" si="142"/>
        <v>47118</v>
      </c>
      <c r="S273" s="73">
        <f t="shared" si="142"/>
        <v>47208</v>
      </c>
      <c r="T273" s="73">
        <f t="shared" si="142"/>
        <v>47299</v>
      </c>
      <c r="U273" s="73">
        <f t="shared" si="142"/>
        <v>47391</v>
      </c>
      <c r="V273" s="73">
        <f t="shared" si="142"/>
        <v>47483</v>
      </c>
      <c r="W273" s="73">
        <f t="shared" si="142"/>
        <v>47573</v>
      </c>
      <c r="X273" s="73">
        <f t="shared" si="142"/>
        <v>47664</v>
      </c>
      <c r="Y273" s="73">
        <f t="shared" si="142"/>
        <v>47756</v>
      </c>
      <c r="Z273" s="73">
        <f t="shared" si="142"/>
        <v>47848</v>
      </c>
      <c r="AA273" s="73">
        <f t="shared" si="143"/>
        <v>47938</v>
      </c>
      <c r="AB273" s="73">
        <f t="shared" si="143"/>
        <v>48029</v>
      </c>
      <c r="AC273" s="73">
        <f t="shared" si="143"/>
        <v>48121</v>
      </c>
      <c r="AD273" s="73">
        <f t="shared" si="143"/>
        <v>48213</v>
      </c>
      <c r="AE273" s="73">
        <f t="shared" si="143"/>
        <v>48304</v>
      </c>
      <c r="AF273" s="73">
        <f t="shared" si="143"/>
        <v>48395</v>
      </c>
      <c r="AG273" s="73">
        <f t="shared" si="143"/>
        <v>48487</v>
      </c>
      <c r="AH273" s="73">
        <f t="shared" si="143"/>
        <v>48579</v>
      </c>
      <c r="AI273" s="73">
        <f t="shared" si="143"/>
        <v>48669</v>
      </c>
      <c r="AJ273" s="73">
        <f t="shared" si="143"/>
        <v>48760</v>
      </c>
    </row>
    <row r="274" spans="2:36">
      <c r="B274" s="356"/>
      <c r="C274" s="356"/>
      <c r="D274" s="356"/>
      <c r="E274" s="356"/>
      <c r="F274" s="356"/>
      <c r="G274" s="73" t="str">
        <f t="shared" si="141"/>
        <v>1 кв 2026</v>
      </c>
      <c r="H274" s="73" t="str">
        <f t="shared" si="141"/>
        <v>2 кв 2026</v>
      </c>
      <c r="I274" s="73" t="str">
        <f t="shared" si="141"/>
        <v>3 кв 2026</v>
      </c>
      <c r="J274" s="73" t="str">
        <f t="shared" si="141"/>
        <v>4 кв 2026</v>
      </c>
      <c r="K274" s="73" t="str">
        <f t="shared" si="141"/>
        <v>1 кв 2027</v>
      </c>
      <c r="L274" s="73" t="str">
        <f t="shared" si="141"/>
        <v>2 кв 2027</v>
      </c>
      <c r="M274" s="73" t="str">
        <f t="shared" si="141"/>
        <v>3 кв 2027</v>
      </c>
      <c r="N274" s="73" t="str">
        <f t="shared" si="141"/>
        <v>4 кв 2027</v>
      </c>
      <c r="O274" s="73" t="str">
        <f t="shared" si="141"/>
        <v>1 кв 2028</v>
      </c>
      <c r="P274" s="73" t="str">
        <f t="shared" si="141"/>
        <v>2 кв 2028</v>
      </c>
      <c r="Q274" s="73" t="str">
        <f t="shared" si="142"/>
        <v>3 кв 2028</v>
      </c>
      <c r="R274" s="73" t="str">
        <f t="shared" si="142"/>
        <v>4 кв 2028</v>
      </c>
      <c r="S274" s="73" t="str">
        <f t="shared" si="142"/>
        <v>1 кв 2029</v>
      </c>
      <c r="T274" s="73" t="str">
        <f t="shared" si="142"/>
        <v>2 кв 2029</v>
      </c>
      <c r="U274" s="73" t="str">
        <f t="shared" si="142"/>
        <v>3 кв 2029</v>
      </c>
      <c r="V274" s="73" t="str">
        <f t="shared" si="142"/>
        <v>4 кв 2029</v>
      </c>
      <c r="W274" s="73" t="str">
        <f t="shared" si="142"/>
        <v>1 кв 2030</v>
      </c>
      <c r="X274" s="73" t="str">
        <f t="shared" si="142"/>
        <v>2 кв 2030</v>
      </c>
      <c r="Y274" s="73" t="str">
        <f t="shared" si="142"/>
        <v>3 кв 2030</v>
      </c>
      <c r="Z274" s="73" t="str">
        <f t="shared" si="142"/>
        <v>4 кв 2030</v>
      </c>
      <c r="AA274" s="73" t="str">
        <f t="shared" si="143"/>
        <v>1 кв 2031</v>
      </c>
      <c r="AB274" s="73" t="str">
        <f t="shared" si="143"/>
        <v>2 кв 2031</v>
      </c>
      <c r="AC274" s="73" t="str">
        <f t="shared" si="143"/>
        <v>3 кв 2031</v>
      </c>
      <c r="AD274" s="73" t="str">
        <f t="shared" si="143"/>
        <v>4 кв 2031</v>
      </c>
      <c r="AE274" s="73" t="str">
        <f t="shared" si="143"/>
        <v>1 кв 2032</v>
      </c>
      <c r="AF274" s="73" t="str">
        <f t="shared" si="143"/>
        <v>2 кв 2032</v>
      </c>
      <c r="AG274" s="73" t="str">
        <f t="shared" si="143"/>
        <v>3 кв 2032</v>
      </c>
      <c r="AH274" s="73" t="str">
        <f t="shared" si="143"/>
        <v>4 кв 2032</v>
      </c>
      <c r="AI274" s="73" t="str">
        <f t="shared" si="143"/>
        <v>1 кв 2033</v>
      </c>
      <c r="AJ274" s="73" t="str">
        <f t="shared" si="143"/>
        <v>2 кв 2033</v>
      </c>
    </row>
    <row r="275" spans="2:36">
      <c r="B275" s="89" t="s">
        <v>196</v>
      </c>
      <c r="C275" s="88" t="s">
        <v>179</v>
      </c>
      <c r="D275" s="79" t="s">
        <v>114</v>
      </c>
      <c r="E275" s="101"/>
      <c r="F275" s="79" t="s">
        <v>114</v>
      </c>
      <c r="G275" s="102">
        <f>ROUND(IF('Параметры займа'!F18='Программы финансирования'!G22,(G273-'Параметры займа'!L15)*'Параметры займа'!$L$20*$C$17/365,0),2)</f>
        <v>4.68</v>
      </c>
      <c r="H275" s="102">
        <f>ROUND(IF('Параметры займа'!$F$18='Программы финансирования'!$G$22,(H273-H272)*'Параметры займа'!$L$20*$C$17/365,0),2)*IF(H272&gt;Дата_погашения_Займа,0,1)</f>
        <v>30.08</v>
      </c>
      <c r="I275" s="102">
        <f>ROUND(IF('Параметры займа'!$F$18='Программы финансирования'!$G$22,(I273-I272)*'Параметры займа'!$L$20*$C$17/365,0),2)*IF(I272&gt;Дата_погашения_Займа,0,1)</f>
        <v>30.42</v>
      </c>
      <c r="J275" s="102">
        <f>ROUND(IF('Параметры займа'!$F$18='Программы финансирования'!$G$22,(J273-J272)*'Параметры займа'!$L$20*$C$17/365,0),2)*IF(J272&gt;Дата_погашения_Займа,0,1)</f>
        <v>30.42</v>
      </c>
      <c r="K275" s="102">
        <f>ROUND(IF('Параметры займа'!$F$18='Программы финансирования'!$G$22,(K273-K272)*'Параметры займа'!$L$20*$C$17/365,0),2)*IF(K272&gt;Дата_погашения_Займа,0,1)</f>
        <v>29.75</v>
      </c>
      <c r="L275" s="102">
        <f>ROUND(IF('Параметры займа'!$F$18='Программы финансирования'!$G$22,(L273-L272)*'Параметры займа'!$L$20*$C$17/365,0),2)*IF(L272&gt;Дата_погашения_Займа,0,1)</f>
        <v>30.08</v>
      </c>
      <c r="M275" s="102">
        <f>ROUND(IF('Параметры займа'!$F$18='Программы финансирования'!$G$22,(M273-M272)*'Параметры займа'!$L$20*$C$17/365,0),2)*IF(M272&gt;Дата_погашения_Займа,0,1)</f>
        <v>30.42</v>
      </c>
      <c r="N275" s="102">
        <f>ROUND(IF('Параметры займа'!$F$18='Программы финансирования'!$G$22,(N273-N272)*'Параметры займа'!$L$20*$C$17/365,0),2)*IF(N272&gt;Дата_погашения_Займа,0,1)</f>
        <v>30.42</v>
      </c>
      <c r="O275" s="102">
        <f>ROUND(IF('Параметры займа'!$F$18='Программы финансирования'!$G$22,(O273-O272)*'Параметры займа'!$L$20*$C$17/365,0),2)*IF(O272&gt;Дата_погашения_Займа,0,1)</f>
        <v>30.08</v>
      </c>
      <c r="P275" s="102">
        <f>ROUND(IF('Параметры займа'!$F$18='Программы финансирования'!$G$22,(P273-P272)*'Параметры займа'!$L$20*$C$17/365,0),2)*IF(P272&gt;Дата_погашения_Займа,0,1)</f>
        <v>30.08</v>
      </c>
      <c r="Q275" s="102">
        <f>ROUND(IF('Параметры займа'!$F$18='Программы финансирования'!$G$22,(Q273-Q272)*'Параметры займа'!$L$20*$C$17/365,0),2)*IF(Q272&gt;Дата_погашения_Займа,0,1)</f>
        <v>30.42</v>
      </c>
      <c r="R275" s="102">
        <f>ROUND(IF('Параметры займа'!$F$18='Программы финансирования'!$G$22,(R273-R272)*'Параметры займа'!$L$20*$C$17/365,0),2)*IF(R272&gt;Дата_погашения_Займа,0,1)</f>
        <v>30.42</v>
      </c>
      <c r="S275" s="102">
        <f>ROUND(IF('Параметры займа'!$F$18='Программы финансирования'!$G$22,(S273-S272)*'Параметры займа'!$L$20*$C$17/365,0),2)*IF(S272&gt;Дата_погашения_Займа,0,1)</f>
        <v>29.75</v>
      </c>
      <c r="T275" s="102">
        <f>ROUND(IF('Параметры займа'!$F$18='Программы финансирования'!$G$22,(T273-T272)*'Параметры займа'!$L$20*$C$17/365,0),2)*IF(T272&gt;Дата_погашения_Займа,0,1)</f>
        <v>30.08</v>
      </c>
      <c r="U275" s="102">
        <f>ROUND(IF('Параметры займа'!$F$18='Программы финансирования'!$G$22,(U273-U272)*'Параметры займа'!$L$20*$C$17/365,0),2)*IF(U272&gt;Дата_погашения_Займа,0,1)</f>
        <v>30.42</v>
      </c>
      <c r="V275" s="102">
        <f>ROUND(IF('Параметры займа'!$F$18='Программы финансирования'!$G$22,(V273-V272)*'Параметры займа'!$L$20*$C$17/365,0),2)*IF(V272&gt;Дата_погашения_Займа,0,1)</f>
        <v>30.42</v>
      </c>
      <c r="W275" s="102">
        <f>ROUND(IF('Параметры займа'!$F$18='Программы финансирования'!$G$22,(W273-W272)*'Параметры займа'!$L$20*$C$17/365,0),2)*IF(W272&gt;Дата_погашения_Займа,0,1)</f>
        <v>29.75</v>
      </c>
      <c r="X275" s="102">
        <f>ROUND(IF('Параметры займа'!$F$18='Программы финансирования'!$G$22,(X273-X272)*'Параметры займа'!$L$20*$C$17/365,0),2)*IF(X272&gt;Дата_погашения_Займа,0,1)</f>
        <v>30.08</v>
      </c>
      <c r="Y275" s="102">
        <f>ROUND(IF('Параметры займа'!$F$18='Программы финансирования'!$G$22,(Y273-Y272)*'Параметры займа'!$L$20*$C$17/365,0),2)*IF(Y272&gt;Дата_погашения_Займа,0,1)</f>
        <v>30.42</v>
      </c>
      <c r="Z275" s="102">
        <f>ROUND(IF('Параметры займа'!$F$18='Программы финансирования'!$G$22,(Z273-Z272)*'Параметры займа'!$L$20*$C$17/365,0),2)*IF(Z272&gt;Дата_погашения_Займа,0,1)</f>
        <v>30.42</v>
      </c>
      <c r="AA275" s="102">
        <f>ROUND(IF('Параметры займа'!$F$18='Программы финансирования'!$G$22,(AA273-AA272)*'Параметры займа'!$L$20*$C$17/365,0),2)*IF(AA272&gt;Дата_погашения_Займа,0,1)</f>
        <v>29.75</v>
      </c>
      <c r="AB275" s="102">
        <f>ROUND(IF('Параметры займа'!$F$18='Программы финансирования'!$G$22,(AB273-AB272)*'Параметры займа'!$L$20*$C$17/365,0),2)*IF(AB272&gt;Дата_погашения_Займа,0,1)</f>
        <v>0</v>
      </c>
      <c r="AC275" s="102">
        <f>ROUND(IF('Параметры займа'!$F$18='Программы финансирования'!$G$22,(AC273-AC272)*'Параметры займа'!$L$20*$C$17/365,0),2)*IF(AC272&gt;Дата_погашения_Займа,0,1)</f>
        <v>0</v>
      </c>
      <c r="AD275" s="102">
        <f>ROUND(IF('Параметры займа'!$F$18='Программы финансирования'!$G$22,(AD273-AD272)*'Параметры займа'!$L$20*$C$17/365,0),2)*IF(AD272&gt;Дата_погашения_Займа,0,1)</f>
        <v>0</v>
      </c>
      <c r="AE275" s="102">
        <f>ROUND(IF('Параметры займа'!$F$18='Программы финансирования'!$G$22,(AE273-AE272)*'Параметры займа'!$L$20*$C$17/365,0),2)*IF(AE272&gt;Дата_погашения_Займа,0,1)</f>
        <v>0</v>
      </c>
      <c r="AF275" s="102">
        <f>ROUND(IF('Параметры займа'!$F$18='Программы финансирования'!$G$22,(AF273-AF272)*'Параметры займа'!$L$20*$C$17/365,0),2)*IF(AF272&gt;Дата_погашения_Займа,0,1)</f>
        <v>0</v>
      </c>
      <c r="AG275" s="102">
        <f>ROUND(IF('Параметры займа'!$F$18='Программы финансирования'!$G$22,(AG273-AG272)*'Параметры займа'!$L$20*$C$17/365,0),2)*IF(AG272&gt;Дата_погашения_Займа,0,1)</f>
        <v>0</v>
      </c>
      <c r="AH275" s="102">
        <f>ROUND(IF('Параметры займа'!$F$18='Программы финансирования'!$G$22,(AH273-AH272)*'Параметры займа'!$L$20*$C$17/365,0),2)*IF(AH272&gt;Дата_погашения_Займа,0,1)</f>
        <v>0</v>
      </c>
      <c r="AI275" s="102">
        <f>ROUND(IF('Параметры займа'!$F$18='Программы финансирования'!$G$22,(AI273-AI272)*'Параметры займа'!$L$20*$C$17/365,0),2)*IF(AI272&gt;Дата_погашения_Займа,0,1)</f>
        <v>0</v>
      </c>
      <c r="AJ275" s="102">
        <f>ROUND(IF('Параметры займа'!$F$18='Программы финансирования'!$G$22,(AJ273-AJ272)*'Параметры займа'!$L$20*$C$17/365,0),2)*IF(AJ272&gt;Дата_погашения_Займа,0,1)</f>
        <v>0</v>
      </c>
    </row>
    <row r="276" spans="2:36">
      <c r="B276" s="185" t="s">
        <v>197</v>
      </c>
      <c r="C276" s="186" t="s">
        <v>179</v>
      </c>
      <c r="D276" s="184" t="s">
        <v>113</v>
      </c>
      <c r="E276" s="187">
        <v>0.22</v>
      </c>
      <c r="F276" s="184" t="s">
        <v>113</v>
      </c>
      <c r="G276" s="307"/>
      <c r="H276" s="307"/>
      <c r="I276" s="307"/>
      <c r="J276" s="307"/>
      <c r="K276" s="307"/>
      <c r="L276" s="307"/>
      <c r="M276" s="307"/>
      <c r="N276" s="307"/>
      <c r="O276" s="307"/>
      <c r="P276" s="307"/>
      <c r="Q276" s="307"/>
      <c r="R276" s="307"/>
      <c r="S276" s="307"/>
      <c r="T276" s="307"/>
      <c r="U276" s="307"/>
      <c r="V276" s="307"/>
      <c r="W276" s="307"/>
      <c r="X276" s="307"/>
      <c r="Y276" s="307"/>
      <c r="Z276" s="307"/>
      <c r="AA276" s="307"/>
      <c r="AB276" s="307"/>
      <c r="AC276" s="307"/>
      <c r="AD276" s="307"/>
      <c r="AE276" s="307"/>
      <c r="AF276" s="307"/>
      <c r="AG276" s="307"/>
      <c r="AH276" s="307"/>
      <c r="AI276" s="307"/>
      <c r="AJ276" s="307"/>
    </row>
    <row r="277" spans="2:36">
      <c r="B277" s="64" t="s">
        <v>198</v>
      </c>
      <c r="C277" s="92" t="s">
        <v>181</v>
      </c>
      <c r="D277" s="65" t="s">
        <v>113</v>
      </c>
      <c r="E277" s="87">
        <v>0.22</v>
      </c>
      <c r="F277" s="65" t="s">
        <v>113</v>
      </c>
      <c r="G277" s="307"/>
      <c r="H277" s="307"/>
      <c r="I277" s="307"/>
      <c r="J277" s="307"/>
      <c r="K277" s="307"/>
      <c r="L277" s="307"/>
      <c r="M277" s="307"/>
      <c r="N277" s="307"/>
      <c r="O277" s="307"/>
      <c r="P277" s="307"/>
      <c r="Q277" s="307"/>
      <c r="R277" s="307"/>
      <c r="S277" s="307"/>
      <c r="T277" s="307"/>
      <c r="U277" s="307"/>
      <c r="V277" s="307"/>
      <c r="W277" s="307"/>
      <c r="X277" s="307"/>
      <c r="Y277" s="307"/>
      <c r="Z277" s="307"/>
      <c r="AA277" s="307"/>
      <c r="AB277" s="307"/>
      <c r="AC277" s="307"/>
      <c r="AD277" s="307"/>
      <c r="AE277" s="307"/>
      <c r="AF277" s="307"/>
      <c r="AG277" s="307"/>
      <c r="AH277" s="307"/>
      <c r="AI277" s="307"/>
      <c r="AJ277" s="307"/>
    </row>
    <row r="278" spans="2:36">
      <c r="B278" s="64"/>
      <c r="C278" s="92"/>
      <c r="D278" s="65" t="s">
        <v>114</v>
      </c>
      <c r="E278" s="87"/>
      <c r="F278" s="65" t="s">
        <v>114</v>
      </c>
      <c r="G278" s="307"/>
      <c r="H278" s="307"/>
      <c r="I278" s="307"/>
      <c r="J278" s="307"/>
      <c r="K278" s="307"/>
      <c r="L278" s="307"/>
      <c r="M278" s="307"/>
      <c r="N278" s="307"/>
      <c r="O278" s="307"/>
      <c r="P278" s="307"/>
      <c r="Q278" s="307"/>
      <c r="R278" s="307"/>
      <c r="S278" s="307"/>
      <c r="T278" s="307"/>
      <c r="U278" s="307"/>
      <c r="V278" s="307"/>
      <c r="W278" s="307"/>
      <c r="X278" s="307"/>
      <c r="Y278" s="307"/>
      <c r="Z278" s="307"/>
      <c r="AA278" s="307"/>
      <c r="AB278" s="307"/>
      <c r="AC278" s="307"/>
      <c r="AD278" s="307"/>
      <c r="AE278" s="307"/>
      <c r="AF278" s="307"/>
      <c r="AG278" s="307"/>
      <c r="AH278" s="307"/>
      <c r="AI278" s="307"/>
      <c r="AJ278" s="307"/>
    </row>
    <row r="279" spans="2:36">
      <c r="B279" s="64"/>
      <c r="C279" s="92"/>
      <c r="D279" s="65" t="s">
        <v>114</v>
      </c>
      <c r="E279" s="87"/>
      <c r="F279" s="65" t="s">
        <v>114</v>
      </c>
      <c r="G279" s="307"/>
      <c r="H279" s="307"/>
      <c r="I279" s="307"/>
      <c r="J279" s="307"/>
      <c r="K279" s="307"/>
      <c r="L279" s="307"/>
      <c r="M279" s="307"/>
      <c r="N279" s="307"/>
      <c r="O279" s="307"/>
      <c r="P279" s="307"/>
      <c r="Q279" s="307"/>
      <c r="R279" s="307"/>
      <c r="S279" s="307"/>
      <c r="T279" s="307"/>
      <c r="U279" s="307"/>
      <c r="V279" s="307"/>
      <c r="W279" s="307"/>
      <c r="X279" s="307"/>
      <c r="Y279" s="307"/>
      <c r="Z279" s="307"/>
      <c r="AA279" s="307"/>
      <c r="AB279" s="307"/>
      <c r="AC279" s="307"/>
      <c r="AD279" s="307"/>
      <c r="AE279" s="307"/>
      <c r="AF279" s="307"/>
      <c r="AG279" s="307"/>
      <c r="AH279" s="307"/>
      <c r="AI279" s="307"/>
      <c r="AJ279" s="307"/>
    </row>
    <row r="280" spans="2:36">
      <c r="B280" s="64"/>
      <c r="C280" s="92"/>
      <c r="D280" s="65" t="s">
        <v>114</v>
      </c>
      <c r="E280" s="87"/>
      <c r="F280" s="65" t="s">
        <v>114</v>
      </c>
      <c r="G280" s="307"/>
      <c r="H280" s="307"/>
      <c r="I280" s="307"/>
      <c r="J280" s="307"/>
      <c r="K280" s="307"/>
      <c r="L280" s="307"/>
      <c r="M280" s="307"/>
      <c r="N280" s="307"/>
      <c r="O280" s="307"/>
      <c r="P280" s="307"/>
      <c r="Q280" s="307"/>
      <c r="R280" s="307"/>
      <c r="S280" s="307"/>
      <c r="T280" s="307"/>
      <c r="U280" s="307"/>
      <c r="V280" s="307"/>
      <c r="W280" s="307"/>
      <c r="X280" s="307"/>
      <c r="Y280" s="307"/>
      <c r="Z280" s="307"/>
      <c r="AA280" s="307"/>
      <c r="AB280" s="307"/>
      <c r="AC280" s="307"/>
      <c r="AD280" s="307"/>
      <c r="AE280" s="307"/>
      <c r="AF280" s="307"/>
      <c r="AG280" s="307"/>
      <c r="AH280" s="307"/>
      <c r="AI280" s="307"/>
      <c r="AJ280" s="307"/>
    </row>
    <row r="281" spans="2:36">
      <c r="B281" s="64"/>
      <c r="C281" s="92"/>
      <c r="D281" s="65" t="s">
        <v>114</v>
      </c>
      <c r="E281" s="87"/>
      <c r="F281" s="65" t="s">
        <v>114</v>
      </c>
      <c r="G281" s="307"/>
      <c r="H281" s="307"/>
      <c r="I281" s="307"/>
      <c r="J281" s="307"/>
      <c r="K281" s="307"/>
      <c r="L281" s="307"/>
      <c r="M281" s="307"/>
      <c r="N281" s="307"/>
      <c r="O281" s="307"/>
      <c r="P281" s="307"/>
      <c r="Q281" s="307"/>
      <c r="R281" s="307"/>
      <c r="S281" s="307"/>
      <c r="T281" s="307"/>
      <c r="U281" s="307"/>
      <c r="V281" s="307"/>
      <c r="W281" s="307"/>
      <c r="X281" s="307"/>
      <c r="Y281" s="307"/>
      <c r="Z281" s="307"/>
      <c r="AA281" s="307"/>
      <c r="AB281" s="307"/>
      <c r="AC281" s="307"/>
      <c r="AD281" s="307"/>
      <c r="AE281" s="307"/>
      <c r="AF281" s="307"/>
      <c r="AG281" s="307"/>
      <c r="AH281" s="307"/>
      <c r="AI281" s="307"/>
      <c r="AJ281" s="307"/>
    </row>
    <row r="282" spans="2:36">
      <c r="B282" s="64"/>
      <c r="C282" s="92"/>
      <c r="D282" s="65" t="s">
        <v>114</v>
      </c>
      <c r="E282" s="87"/>
      <c r="F282" s="65" t="s">
        <v>114</v>
      </c>
      <c r="G282" s="307"/>
      <c r="H282" s="307"/>
      <c r="I282" s="307"/>
      <c r="J282" s="307"/>
      <c r="K282" s="307"/>
      <c r="L282" s="307"/>
      <c r="M282" s="307"/>
      <c r="N282" s="307"/>
      <c r="O282" s="307"/>
      <c r="P282" s="307"/>
      <c r="Q282" s="307"/>
      <c r="R282" s="307"/>
      <c r="S282" s="307"/>
      <c r="T282" s="307"/>
      <c r="U282" s="307"/>
      <c r="V282" s="307"/>
      <c r="W282" s="307"/>
      <c r="X282" s="307"/>
      <c r="Y282" s="307"/>
      <c r="Z282" s="307"/>
      <c r="AA282" s="307"/>
      <c r="AB282" s="307"/>
      <c r="AC282" s="307"/>
      <c r="AD282" s="307"/>
      <c r="AE282" s="307"/>
      <c r="AF282" s="307"/>
      <c r="AG282" s="307"/>
      <c r="AH282" s="307"/>
      <c r="AI282" s="307"/>
      <c r="AJ282" s="307"/>
    </row>
    <row r="283" spans="2:36">
      <c r="B283" s="64"/>
      <c r="C283" s="92"/>
      <c r="D283" s="65" t="s">
        <v>114</v>
      </c>
      <c r="E283" s="87"/>
      <c r="F283" s="65" t="s">
        <v>114</v>
      </c>
      <c r="G283" s="307"/>
      <c r="H283" s="307"/>
      <c r="I283" s="307"/>
      <c r="J283" s="307"/>
      <c r="K283" s="307"/>
      <c r="L283" s="307"/>
      <c r="M283" s="307"/>
      <c r="N283" s="307"/>
      <c r="O283" s="307"/>
      <c r="P283" s="307"/>
      <c r="Q283" s="307"/>
      <c r="R283" s="307"/>
      <c r="S283" s="307"/>
      <c r="T283" s="307"/>
      <c r="U283" s="307"/>
      <c r="V283" s="307"/>
      <c r="W283" s="307"/>
      <c r="X283" s="307"/>
      <c r="Y283" s="307"/>
      <c r="Z283" s="307"/>
      <c r="AA283" s="307"/>
      <c r="AB283" s="307"/>
      <c r="AC283" s="307"/>
      <c r="AD283" s="307"/>
      <c r="AE283" s="307"/>
      <c r="AF283" s="307"/>
      <c r="AG283" s="307"/>
      <c r="AH283" s="307"/>
      <c r="AI283" s="307"/>
      <c r="AJ283" s="307"/>
    </row>
    <row r="284" spans="2:36">
      <c r="B284" s="64"/>
      <c r="C284" s="92"/>
      <c r="D284" s="65" t="s">
        <v>114</v>
      </c>
      <c r="E284" s="87"/>
      <c r="F284" s="65" t="s">
        <v>114</v>
      </c>
      <c r="G284" s="307"/>
      <c r="H284" s="307"/>
      <c r="I284" s="307"/>
      <c r="J284" s="307"/>
      <c r="K284" s="307"/>
      <c r="L284" s="307"/>
      <c r="M284" s="307"/>
      <c r="N284" s="307"/>
      <c r="O284" s="307"/>
      <c r="P284" s="307"/>
      <c r="Q284" s="307"/>
      <c r="R284" s="307"/>
      <c r="S284" s="307"/>
      <c r="T284" s="307"/>
      <c r="U284" s="307"/>
      <c r="V284" s="307"/>
      <c r="W284" s="307"/>
      <c r="X284" s="307"/>
      <c r="Y284" s="307"/>
      <c r="Z284" s="307"/>
      <c r="AA284" s="307"/>
      <c r="AB284" s="307"/>
      <c r="AC284" s="307"/>
      <c r="AD284" s="307"/>
      <c r="AE284" s="307"/>
      <c r="AF284" s="307"/>
      <c r="AG284" s="307"/>
      <c r="AH284" s="307"/>
      <c r="AI284" s="307"/>
      <c r="AJ284" s="307"/>
    </row>
    <row r="285" spans="2:36">
      <c r="B285" s="192" t="s">
        <v>388</v>
      </c>
      <c r="C285" s="193" t="s">
        <v>29</v>
      </c>
      <c r="D285" s="308" t="s">
        <v>392</v>
      </c>
      <c r="E285" s="309" t="s">
        <v>392</v>
      </c>
      <c r="F285" s="308" t="s">
        <v>392</v>
      </c>
      <c r="G285" s="91">
        <f>SUM(G275:G284)</f>
        <v>4.68</v>
      </c>
      <c r="H285" s="91">
        <f t="shared" ref="H285:AJ285" si="144">SUM(H275:H284)</f>
        <v>30.08</v>
      </c>
      <c r="I285" s="91">
        <f t="shared" si="144"/>
        <v>30.42</v>
      </c>
      <c r="J285" s="91">
        <f t="shared" si="144"/>
        <v>30.42</v>
      </c>
      <c r="K285" s="91">
        <f t="shared" si="144"/>
        <v>29.75</v>
      </c>
      <c r="L285" s="91">
        <f t="shared" si="144"/>
        <v>30.08</v>
      </c>
      <c r="M285" s="91">
        <f t="shared" si="144"/>
        <v>30.42</v>
      </c>
      <c r="N285" s="91">
        <f t="shared" si="144"/>
        <v>30.42</v>
      </c>
      <c r="O285" s="91">
        <f t="shared" si="144"/>
        <v>30.08</v>
      </c>
      <c r="P285" s="91">
        <f t="shared" si="144"/>
        <v>30.08</v>
      </c>
      <c r="Q285" s="91">
        <f t="shared" si="144"/>
        <v>30.42</v>
      </c>
      <c r="R285" s="91">
        <f t="shared" si="144"/>
        <v>30.42</v>
      </c>
      <c r="S285" s="91">
        <f t="shared" si="144"/>
        <v>29.75</v>
      </c>
      <c r="T285" s="91">
        <f t="shared" si="144"/>
        <v>30.08</v>
      </c>
      <c r="U285" s="91">
        <f t="shared" si="144"/>
        <v>30.42</v>
      </c>
      <c r="V285" s="91">
        <f t="shared" si="144"/>
        <v>30.42</v>
      </c>
      <c r="W285" s="91">
        <f t="shared" si="144"/>
        <v>29.75</v>
      </c>
      <c r="X285" s="91">
        <f t="shared" si="144"/>
        <v>30.08</v>
      </c>
      <c r="Y285" s="91">
        <f t="shared" si="144"/>
        <v>30.42</v>
      </c>
      <c r="Z285" s="91">
        <f t="shared" si="144"/>
        <v>30.42</v>
      </c>
      <c r="AA285" s="91">
        <f t="shared" si="144"/>
        <v>29.75</v>
      </c>
      <c r="AB285" s="91">
        <f t="shared" si="144"/>
        <v>0</v>
      </c>
      <c r="AC285" s="91">
        <f t="shared" si="144"/>
        <v>0</v>
      </c>
      <c r="AD285" s="91">
        <f t="shared" si="144"/>
        <v>0</v>
      </c>
      <c r="AE285" s="91">
        <f t="shared" si="144"/>
        <v>0</v>
      </c>
      <c r="AF285" s="91">
        <f t="shared" si="144"/>
        <v>0</v>
      </c>
      <c r="AG285" s="91">
        <f t="shared" si="144"/>
        <v>0</v>
      </c>
      <c r="AH285" s="91">
        <f t="shared" si="144"/>
        <v>0</v>
      </c>
      <c r="AI285" s="91">
        <f t="shared" si="144"/>
        <v>0</v>
      </c>
      <c r="AJ285" s="91">
        <f t="shared" si="144"/>
        <v>0</v>
      </c>
    </row>
    <row r="286" spans="2:36">
      <c r="B286" s="192" t="s">
        <v>391</v>
      </c>
      <c r="C286" s="193" t="s">
        <v>29</v>
      </c>
      <c r="D286" s="308" t="s">
        <v>392</v>
      </c>
      <c r="E286" s="309" t="s">
        <v>392</v>
      </c>
      <c r="F286" s="308" t="s">
        <v>392</v>
      </c>
      <c r="G286" s="91">
        <f>IF($H$16=справочник!$A$16,ROUND((G275/(1+$E$275)+G276/(1+$E$276)+G277/(1+$E$277)+G278/(1+$E$278)+G279/(1+$E$279)+G280/(1+$E$280)+G281/(1+$E$281)+G282/(1+$E$282)+G283/(1+$E$283)+G284/(1+$E$284)),2),G285)</f>
        <v>4.68</v>
      </c>
      <c r="H286" s="91">
        <f>IF($H$16=справочник!$A$16,ROUND((H275/(1+$E$275)+H276/(1+$E$276)+H277/(1+$E$277)+H278/(1+$E$278)+H279/(1+$E$279)+H280/(1+$E$280)+H281/(1+$E$281)+H282/(1+$E$282)+H283/(1+$E$283)+H284/(1+$E$284)),2),H285)</f>
        <v>30.08</v>
      </c>
      <c r="I286" s="91">
        <f>IF($H$16=справочник!$A$16,ROUND((I275/(1+$E$275)+I276/(1+$E$276)+I277/(1+$E$277)+I278/(1+$E$278)+I279/(1+$E$279)+I280/(1+$E$280)+I281/(1+$E$281)+I282/(1+$E$282)+I283/(1+$E$283)+I284/(1+$E$284)),2),I285)</f>
        <v>30.42</v>
      </c>
      <c r="J286" s="91">
        <f>IF($H$16=справочник!$A$16,ROUND((J275/(1+$E$275)+J276/(1+$E$276)+J277/(1+$E$277)+J278/(1+$E$278)+J279/(1+$E$279)+J280/(1+$E$280)+J281/(1+$E$281)+J282/(1+$E$282)+J283/(1+$E$283)+J284/(1+$E$284)),2),J285)</f>
        <v>30.42</v>
      </c>
      <c r="K286" s="91">
        <f>IF($H$16=справочник!$A$16,ROUND((K275/(1+$E$275)+K276/(1+$E$276)+K277/(1+$E$277)+K278/(1+$E$278)+K279/(1+$E$279)+K280/(1+$E$280)+K281/(1+$E$281)+K282/(1+$E$282)+K283/(1+$E$283)+K284/(1+$E$284)),2),K285)</f>
        <v>29.75</v>
      </c>
      <c r="L286" s="91">
        <f>IF($H$16=справочник!$A$16,ROUND((L275/(1+$E$275)+L276/(1+$E$276)+L277/(1+$E$277)+L278/(1+$E$278)+L279/(1+$E$279)+L280/(1+$E$280)+L281/(1+$E$281)+L282/(1+$E$282)+L283/(1+$E$283)+L284/(1+$E$284)),2),L285)</f>
        <v>30.08</v>
      </c>
      <c r="M286" s="91">
        <f>IF($H$16=справочник!$A$16,ROUND((M275/(1+$E$275)+M276/(1+$E$276)+M277/(1+$E$277)+M278/(1+$E$278)+M279/(1+$E$279)+M280/(1+$E$280)+M281/(1+$E$281)+M282/(1+$E$282)+M283/(1+$E$283)+M284/(1+$E$284)),2),M285)</f>
        <v>30.42</v>
      </c>
      <c r="N286" s="91">
        <f>IF($H$16=справочник!$A$16,ROUND((N275/(1+$E$275)+N276/(1+$E$276)+N277/(1+$E$277)+N278/(1+$E$278)+N279/(1+$E$279)+N280/(1+$E$280)+N281/(1+$E$281)+N282/(1+$E$282)+N283/(1+$E$283)+N284/(1+$E$284)),2),N285)</f>
        <v>30.42</v>
      </c>
      <c r="O286" s="91">
        <f>IF($H$16=справочник!$A$16,ROUND((O275/(1+$E$275)+O276/(1+$E$276)+O277/(1+$E$277)+O278/(1+$E$278)+O279/(1+$E$279)+O280/(1+$E$280)+O281/(1+$E$281)+O282/(1+$E$282)+O283/(1+$E$283)+O284/(1+$E$284)),2),O285)</f>
        <v>30.08</v>
      </c>
      <c r="P286" s="91">
        <f>IF($H$16=справочник!$A$16,ROUND((P275/(1+$E$275)+P276/(1+$E$276)+P277/(1+$E$277)+P278/(1+$E$278)+P279/(1+$E$279)+P280/(1+$E$280)+P281/(1+$E$281)+P282/(1+$E$282)+P283/(1+$E$283)+P284/(1+$E$284)),2),P285)</f>
        <v>30.08</v>
      </c>
      <c r="Q286" s="91">
        <f>IF($H$16=справочник!$A$16,ROUND((Q275/(1+$E$275)+Q276/(1+$E$276)+Q277/(1+$E$277)+Q278/(1+$E$278)+Q279/(1+$E$279)+Q280/(1+$E$280)+Q281/(1+$E$281)+Q282/(1+$E$282)+Q283/(1+$E$283)+Q284/(1+$E$284)),2),Q285)</f>
        <v>30.42</v>
      </c>
      <c r="R286" s="91">
        <f>IF($H$16=справочник!$A$16,ROUND((R275/(1+$E$275)+R276/(1+$E$276)+R277/(1+$E$277)+R278/(1+$E$278)+R279/(1+$E$279)+R280/(1+$E$280)+R281/(1+$E$281)+R282/(1+$E$282)+R283/(1+$E$283)+R284/(1+$E$284)),2),R285)</f>
        <v>30.42</v>
      </c>
      <c r="S286" s="91">
        <f>IF($H$16=справочник!$A$16,ROUND((S275/(1+$E$275)+S276/(1+$E$276)+S277/(1+$E$277)+S278/(1+$E$278)+S279/(1+$E$279)+S280/(1+$E$280)+S281/(1+$E$281)+S282/(1+$E$282)+S283/(1+$E$283)+S284/(1+$E$284)),2),S285)</f>
        <v>29.75</v>
      </c>
      <c r="T286" s="91">
        <f>IF($H$16=справочник!$A$16,ROUND((T275/(1+$E$275)+T276/(1+$E$276)+T277/(1+$E$277)+T278/(1+$E$278)+T279/(1+$E$279)+T280/(1+$E$280)+T281/(1+$E$281)+T282/(1+$E$282)+T283/(1+$E$283)+T284/(1+$E$284)),2),T285)</f>
        <v>30.08</v>
      </c>
      <c r="U286" s="91">
        <f>IF($H$16=справочник!$A$16,ROUND((U275/(1+$E$275)+U276/(1+$E$276)+U277/(1+$E$277)+U278/(1+$E$278)+U279/(1+$E$279)+U280/(1+$E$280)+U281/(1+$E$281)+U282/(1+$E$282)+U283/(1+$E$283)+U284/(1+$E$284)),2),U285)</f>
        <v>30.42</v>
      </c>
      <c r="V286" s="91">
        <f>IF($H$16=справочник!$A$16,ROUND((V275/(1+$E$275)+V276/(1+$E$276)+V277/(1+$E$277)+V278/(1+$E$278)+V279/(1+$E$279)+V280/(1+$E$280)+V281/(1+$E$281)+V282/(1+$E$282)+V283/(1+$E$283)+V284/(1+$E$284)),2),V285)</f>
        <v>30.42</v>
      </c>
      <c r="W286" s="91">
        <f>IF($H$16=справочник!$A$16,ROUND((W275/(1+$E$275)+W276/(1+$E$276)+W277/(1+$E$277)+W278/(1+$E$278)+W279/(1+$E$279)+W280/(1+$E$280)+W281/(1+$E$281)+W282/(1+$E$282)+W283/(1+$E$283)+W284/(1+$E$284)),2),W285)</f>
        <v>29.75</v>
      </c>
      <c r="X286" s="91">
        <f>IF($H$16=справочник!$A$16,ROUND((X275/(1+$E$275)+X276/(1+$E$276)+X277/(1+$E$277)+X278/(1+$E$278)+X279/(1+$E$279)+X280/(1+$E$280)+X281/(1+$E$281)+X282/(1+$E$282)+X283/(1+$E$283)+X284/(1+$E$284)),2),X285)</f>
        <v>30.08</v>
      </c>
      <c r="Y286" s="91">
        <f>IF($H$16=справочник!$A$16,ROUND((Y275/(1+$E$275)+Y276/(1+$E$276)+Y277/(1+$E$277)+Y278/(1+$E$278)+Y279/(1+$E$279)+Y280/(1+$E$280)+Y281/(1+$E$281)+Y282/(1+$E$282)+Y283/(1+$E$283)+Y284/(1+$E$284)),2),Y285)</f>
        <v>30.42</v>
      </c>
      <c r="Z286" s="91">
        <f>IF($H$16=справочник!$A$16,ROUND((Z275/(1+$E$275)+Z276/(1+$E$276)+Z277/(1+$E$277)+Z278/(1+$E$278)+Z279/(1+$E$279)+Z280/(1+$E$280)+Z281/(1+$E$281)+Z282/(1+$E$282)+Z283/(1+$E$283)+Z284/(1+$E$284)),2),Z285)</f>
        <v>30.42</v>
      </c>
      <c r="AA286" s="91">
        <f>IF($H$16=справочник!$A$16,ROUND((AA275/(1+$E$275)+AA276/(1+$E$276)+AA277/(1+$E$277)+AA278/(1+$E$278)+AA279/(1+$E$279)+AA280/(1+$E$280)+AA281/(1+$E$281)+AA282/(1+$E$282)+AA283/(1+$E$283)+AA284/(1+$E$284)),2),AA285)</f>
        <v>29.75</v>
      </c>
      <c r="AB286" s="91">
        <f>IF($H$16=справочник!$A$16,ROUND((AB275/(1+$E$275)+AB276/(1+$E$276)+AB277/(1+$E$277)+AB278/(1+$E$278)+AB279/(1+$E$279)+AB280/(1+$E$280)+AB281/(1+$E$281)+AB282/(1+$E$282)+AB283/(1+$E$283)+AB284/(1+$E$284)),2),AB285)</f>
        <v>0</v>
      </c>
      <c r="AC286" s="91">
        <f>IF($H$16=справочник!$A$16,ROUND((AC275/(1+$E$275)+AC276/(1+$E$276)+AC277/(1+$E$277)+AC278/(1+$E$278)+AC279/(1+$E$279)+AC280/(1+$E$280)+AC281/(1+$E$281)+AC282/(1+$E$282)+AC283/(1+$E$283)+AC284/(1+$E$284)),2),AC285)</f>
        <v>0</v>
      </c>
      <c r="AD286" s="91">
        <f>IF($H$16=справочник!$A$16,ROUND((AD275/(1+$E$275)+AD276/(1+$E$276)+AD277/(1+$E$277)+AD278/(1+$E$278)+AD279/(1+$E$279)+AD280/(1+$E$280)+AD281/(1+$E$281)+AD282/(1+$E$282)+AD283/(1+$E$283)+AD284/(1+$E$284)),2),AD285)</f>
        <v>0</v>
      </c>
      <c r="AE286" s="91">
        <f>IF($H$16=справочник!$A$16,ROUND((AE275/(1+$E$275)+AE276/(1+$E$276)+AE277/(1+$E$277)+AE278/(1+$E$278)+AE279/(1+$E$279)+AE280/(1+$E$280)+AE281/(1+$E$281)+AE282/(1+$E$282)+AE283/(1+$E$283)+AE284/(1+$E$284)),2),AE285)</f>
        <v>0</v>
      </c>
      <c r="AF286" s="91">
        <f>IF($H$16=справочник!$A$16,ROUND((AF275/(1+$E$275)+AF276/(1+$E$276)+AF277/(1+$E$277)+AF278/(1+$E$278)+AF279/(1+$E$279)+AF280/(1+$E$280)+AF281/(1+$E$281)+AF282/(1+$E$282)+AF283/(1+$E$283)+AF284/(1+$E$284)),2),AF285)</f>
        <v>0</v>
      </c>
      <c r="AG286" s="91">
        <f>IF($H$16=справочник!$A$16,ROUND((AG275/(1+$E$275)+AG276/(1+$E$276)+AG277/(1+$E$277)+AG278/(1+$E$278)+AG279/(1+$E$279)+AG280/(1+$E$280)+AG281/(1+$E$281)+AG282/(1+$E$282)+AG283/(1+$E$283)+AG284/(1+$E$284)),2),AG285)</f>
        <v>0</v>
      </c>
      <c r="AH286" s="91">
        <f>IF($H$16=справочник!$A$16,ROUND((AH275/(1+$E$275)+AH276/(1+$E$276)+AH277/(1+$E$277)+AH278/(1+$E$278)+AH279/(1+$E$279)+AH280/(1+$E$280)+AH281/(1+$E$281)+AH282/(1+$E$282)+AH283/(1+$E$283)+AH284/(1+$E$284)),2),AH285)</f>
        <v>0</v>
      </c>
      <c r="AI286" s="91">
        <f>IF($H$16=справочник!$A$16,ROUND((AI275/(1+$E$275)+AI276/(1+$E$276)+AI277/(1+$E$277)+AI278/(1+$E$278)+AI279/(1+$E$279)+AI280/(1+$E$280)+AI281/(1+$E$281)+AI282/(1+$E$282)+AI283/(1+$E$283)+AI284/(1+$E$284)),2),AI285)</f>
        <v>0</v>
      </c>
      <c r="AJ286" s="91">
        <f>IF($H$16=справочник!$A$16,ROUND((AJ275/(1+$E$275)+AJ276/(1+$E$276)+AJ277/(1+$E$277)+AJ278/(1+$E$278)+AJ279/(1+$E$279)+AJ280/(1+$E$280)+AJ281/(1+$E$281)+AJ282/(1+$E$282)+AJ283/(1+$E$283)+AJ284/(1+$E$284)),2),AJ285)</f>
        <v>0</v>
      </c>
    </row>
    <row r="287" spans="2:36">
      <c r="B287" s="192" t="s">
        <v>378</v>
      </c>
      <c r="C287" s="193" t="s">
        <v>29</v>
      </c>
      <c r="D287" s="308" t="s">
        <v>392</v>
      </c>
      <c r="E287" s="309" t="s">
        <v>392</v>
      </c>
      <c r="F287" s="308" t="s">
        <v>392</v>
      </c>
      <c r="G287" s="91">
        <f>G285-G286</f>
        <v>0</v>
      </c>
      <c r="H287" s="91">
        <f>H285-H286</f>
        <v>0</v>
      </c>
      <c r="I287" s="91">
        <f t="shared" ref="I287:AJ287" si="145">I285-I286</f>
        <v>0</v>
      </c>
      <c r="J287" s="91">
        <f t="shared" si="145"/>
        <v>0</v>
      </c>
      <c r="K287" s="91">
        <f t="shared" si="145"/>
        <v>0</v>
      </c>
      <c r="L287" s="91">
        <f t="shared" si="145"/>
        <v>0</v>
      </c>
      <c r="M287" s="91">
        <f t="shared" si="145"/>
        <v>0</v>
      </c>
      <c r="N287" s="91">
        <f t="shared" si="145"/>
        <v>0</v>
      </c>
      <c r="O287" s="91">
        <f t="shared" si="145"/>
        <v>0</v>
      </c>
      <c r="P287" s="91">
        <f t="shared" si="145"/>
        <v>0</v>
      </c>
      <c r="Q287" s="91">
        <f t="shared" si="145"/>
        <v>0</v>
      </c>
      <c r="R287" s="91">
        <f t="shared" si="145"/>
        <v>0</v>
      </c>
      <c r="S287" s="91">
        <f t="shared" si="145"/>
        <v>0</v>
      </c>
      <c r="T287" s="91">
        <f t="shared" si="145"/>
        <v>0</v>
      </c>
      <c r="U287" s="91">
        <f t="shared" si="145"/>
        <v>0</v>
      </c>
      <c r="V287" s="91">
        <f t="shared" si="145"/>
        <v>0</v>
      </c>
      <c r="W287" s="91">
        <f t="shared" si="145"/>
        <v>0</v>
      </c>
      <c r="X287" s="91">
        <f t="shared" si="145"/>
        <v>0</v>
      </c>
      <c r="Y287" s="91">
        <f t="shared" si="145"/>
        <v>0</v>
      </c>
      <c r="Z287" s="91">
        <f t="shared" si="145"/>
        <v>0</v>
      </c>
      <c r="AA287" s="91">
        <f t="shared" si="145"/>
        <v>0</v>
      </c>
      <c r="AB287" s="91">
        <f t="shared" si="145"/>
        <v>0</v>
      </c>
      <c r="AC287" s="91">
        <f t="shared" si="145"/>
        <v>0</v>
      </c>
      <c r="AD287" s="91">
        <f t="shared" si="145"/>
        <v>0</v>
      </c>
      <c r="AE287" s="91">
        <f t="shared" si="145"/>
        <v>0</v>
      </c>
      <c r="AF287" s="91">
        <f t="shared" si="145"/>
        <v>0</v>
      </c>
      <c r="AG287" s="91">
        <f t="shared" si="145"/>
        <v>0</v>
      </c>
      <c r="AH287" s="91">
        <f t="shared" si="145"/>
        <v>0</v>
      </c>
      <c r="AI287" s="91">
        <f t="shared" si="145"/>
        <v>0</v>
      </c>
      <c r="AJ287" s="91">
        <f t="shared" si="145"/>
        <v>0</v>
      </c>
    </row>
    <row r="288" spans="2:36">
      <c r="B288" s="90" t="s">
        <v>389</v>
      </c>
      <c r="C288" s="193" t="s">
        <v>29</v>
      </c>
      <c r="D288" s="308" t="s">
        <v>392</v>
      </c>
      <c r="E288" s="309" t="s">
        <v>392</v>
      </c>
      <c r="F288" s="308" t="s">
        <v>392</v>
      </c>
      <c r="G288" s="91">
        <f>-ROUND($H$78*O78,2)</f>
        <v>0</v>
      </c>
      <c r="H288" s="91">
        <f t="shared" ref="H288:AJ288" si="146">-ROUND($H$78*P78,2)</f>
        <v>0</v>
      </c>
      <c r="I288" s="91">
        <f t="shared" si="146"/>
        <v>0</v>
      </c>
      <c r="J288" s="91">
        <f t="shared" si="146"/>
        <v>0</v>
      </c>
      <c r="K288" s="91">
        <f t="shared" si="146"/>
        <v>0</v>
      </c>
      <c r="L288" s="91">
        <f t="shared" si="146"/>
        <v>0</v>
      </c>
      <c r="M288" s="91">
        <f t="shared" si="146"/>
        <v>0</v>
      </c>
      <c r="N288" s="91">
        <f t="shared" si="146"/>
        <v>0</v>
      </c>
      <c r="O288" s="91">
        <f t="shared" si="146"/>
        <v>0</v>
      </c>
      <c r="P288" s="91">
        <f t="shared" si="146"/>
        <v>0</v>
      </c>
      <c r="Q288" s="91">
        <f t="shared" si="146"/>
        <v>0</v>
      </c>
      <c r="R288" s="91">
        <f t="shared" si="146"/>
        <v>0</v>
      </c>
      <c r="S288" s="91">
        <f t="shared" si="146"/>
        <v>0</v>
      </c>
      <c r="T288" s="91">
        <f t="shared" si="146"/>
        <v>0</v>
      </c>
      <c r="U288" s="91">
        <f t="shared" si="146"/>
        <v>0</v>
      </c>
      <c r="V288" s="91">
        <f t="shared" si="146"/>
        <v>0</v>
      </c>
      <c r="W288" s="91">
        <f t="shared" si="146"/>
        <v>0</v>
      </c>
      <c r="X288" s="91">
        <f t="shared" si="146"/>
        <v>0</v>
      </c>
      <c r="Y288" s="91">
        <f t="shared" si="146"/>
        <v>0</v>
      </c>
      <c r="Z288" s="91">
        <f t="shared" si="146"/>
        <v>0</v>
      </c>
      <c r="AA288" s="91">
        <f t="shared" si="146"/>
        <v>0</v>
      </c>
      <c r="AB288" s="91">
        <f t="shared" si="146"/>
        <v>0</v>
      </c>
      <c r="AC288" s="91">
        <f t="shared" si="146"/>
        <v>0</v>
      </c>
      <c r="AD288" s="91">
        <f t="shared" si="146"/>
        <v>0</v>
      </c>
      <c r="AE288" s="91">
        <f t="shared" si="146"/>
        <v>0</v>
      </c>
      <c r="AF288" s="91">
        <f t="shared" si="146"/>
        <v>0</v>
      </c>
      <c r="AG288" s="91">
        <f t="shared" si="146"/>
        <v>0</v>
      </c>
      <c r="AH288" s="91">
        <f t="shared" si="146"/>
        <v>0</v>
      </c>
      <c r="AI288" s="91">
        <f t="shared" si="146"/>
        <v>0</v>
      </c>
      <c r="AJ288" s="91">
        <f t="shared" si="146"/>
        <v>0</v>
      </c>
    </row>
    <row r="289" spans="2:36">
      <c r="B289" s="90" t="s">
        <v>390</v>
      </c>
      <c r="C289" s="193" t="s">
        <v>29</v>
      </c>
      <c r="D289" s="308" t="s">
        <v>392</v>
      </c>
      <c r="E289" s="309" t="s">
        <v>392</v>
      </c>
      <c r="F289" s="308" t="s">
        <v>392</v>
      </c>
      <c r="G289" s="91">
        <f>IF($H$16=справочник!$A$16,-ROUND($M$78*O78,2),G288)</f>
        <v>0</v>
      </c>
      <c r="H289" s="91">
        <f>IF($H$16=справочник!$A$16,-ROUND($M$78*P78,2),H288)</f>
        <v>0</v>
      </c>
      <c r="I289" s="91">
        <f>IF($H$16=справочник!$A$16,-ROUND($M$78*Q78,2),I288)</f>
        <v>0</v>
      </c>
      <c r="J289" s="91">
        <f>IF($H$16=справочник!$A$16,-ROUND($M$78*R78,2),J288)</f>
        <v>0</v>
      </c>
      <c r="K289" s="91">
        <f>IF($H$16=справочник!$A$16,-ROUND($M$78*S78,2),K288)</f>
        <v>0</v>
      </c>
      <c r="L289" s="91">
        <f>IF($H$16=справочник!$A$16,-ROUND($M$78*T78,2),L288)</f>
        <v>0</v>
      </c>
      <c r="M289" s="91">
        <f>IF($H$16=справочник!$A$16,-ROUND($M$78*U78,2),M288)</f>
        <v>0</v>
      </c>
      <c r="N289" s="91">
        <f>IF($H$16=справочник!$A$16,-ROUND($M$78*V78,2),N288)</f>
        <v>0</v>
      </c>
      <c r="O289" s="91">
        <f>IF($H$16=справочник!$A$16,-ROUND($M$78*W78,2),O288)</f>
        <v>0</v>
      </c>
      <c r="P289" s="91">
        <f>IF($H$16=справочник!$A$16,-ROUND($M$78*X78,2),P288)</f>
        <v>0</v>
      </c>
      <c r="Q289" s="91">
        <f>IF($H$16=справочник!$A$16,-ROUND($M$78*Y78,2),Q288)</f>
        <v>0</v>
      </c>
      <c r="R289" s="91">
        <f>IF($H$16=справочник!$A$16,-ROUND($M$78*Z78,2),R288)</f>
        <v>0</v>
      </c>
      <c r="S289" s="91">
        <f>IF($H$16=справочник!$A$16,-ROUND($M$78*AA78,2),S288)</f>
        <v>0</v>
      </c>
      <c r="T289" s="91">
        <f>IF($H$16=справочник!$A$16,-ROUND($M$78*AB78,2),T288)</f>
        <v>0</v>
      </c>
      <c r="U289" s="91">
        <f>IF($H$16=справочник!$A$16,-ROUND($M$78*AC78,2),U288)</f>
        <v>0</v>
      </c>
      <c r="V289" s="91">
        <f>IF($H$16=справочник!$A$16,-ROUND($M$78*AD78,2),V288)</f>
        <v>0</v>
      </c>
      <c r="W289" s="91">
        <f>IF($H$16=справочник!$A$16,-ROUND($M$78*AE78,2),W288)</f>
        <v>0</v>
      </c>
      <c r="X289" s="91">
        <f>IF($H$16=справочник!$A$16,-ROUND($M$78*AF78,2),X288)</f>
        <v>0</v>
      </c>
      <c r="Y289" s="91">
        <f>IF($H$16=справочник!$A$16,-ROUND($M$78*AG78,2),Y288)</f>
        <v>0</v>
      </c>
      <c r="Z289" s="91">
        <f>IF($H$16=справочник!$A$16,-ROUND($M$78*AH78,2),Z288)</f>
        <v>0</v>
      </c>
      <c r="AA289" s="91">
        <f>IF($H$16=справочник!$A$16,-ROUND($M$78*AI78,2),AA288)</f>
        <v>0</v>
      </c>
      <c r="AB289" s="91">
        <f>IF($H$16=справочник!$A$16,-ROUND($M$78*AJ78,2),AB288)</f>
        <v>0</v>
      </c>
      <c r="AC289" s="91">
        <f>IF($H$16=справочник!$A$16,-ROUND($M$78*AK78,2),AC288)</f>
        <v>0</v>
      </c>
      <c r="AD289" s="91">
        <f>IF($H$16=справочник!$A$16,-ROUND($M$78*AL78,2),AD288)</f>
        <v>0</v>
      </c>
      <c r="AE289" s="91">
        <f>IF($H$16=справочник!$A$16,-ROUND($M$78*AM78,2),AE288)</f>
        <v>0</v>
      </c>
      <c r="AF289" s="91">
        <f>IF($H$16=справочник!$A$16,-ROUND($M$78*AN78,2),AF288)</f>
        <v>0</v>
      </c>
      <c r="AG289" s="91">
        <f>IF($H$16=справочник!$A$16,-ROUND($M$78*AO78,2),AG288)</f>
        <v>0</v>
      </c>
      <c r="AH289" s="91">
        <f>IF($H$16=справочник!$A$16,-ROUND($M$78*AP78,2),AH288)</f>
        <v>0</v>
      </c>
      <c r="AI289" s="91">
        <f>IF($H$16=справочник!$A$16,-ROUND($M$78*AQ78,2),AI288)</f>
        <v>0</v>
      </c>
      <c r="AJ289" s="91">
        <f>IF($H$16=справочник!$A$16,-ROUND($M$78*AR78,2),AJ288)</f>
        <v>0</v>
      </c>
    </row>
    <row r="290" spans="2:36">
      <c r="B290" s="90" t="s">
        <v>383</v>
      </c>
      <c r="C290" s="193" t="s">
        <v>29</v>
      </c>
      <c r="D290" s="308" t="s">
        <v>392</v>
      </c>
      <c r="E290" s="309" t="s">
        <v>392</v>
      </c>
      <c r="F290" s="308" t="s">
        <v>392</v>
      </c>
      <c r="G290" s="91">
        <f>G288-G289</f>
        <v>0</v>
      </c>
      <c r="H290" s="91">
        <f t="shared" ref="H290:AJ290" si="147">H288-H289</f>
        <v>0</v>
      </c>
      <c r="I290" s="91">
        <f t="shared" si="147"/>
        <v>0</v>
      </c>
      <c r="J290" s="91">
        <f t="shared" si="147"/>
        <v>0</v>
      </c>
      <c r="K290" s="91">
        <f t="shared" si="147"/>
        <v>0</v>
      </c>
      <c r="L290" s="91">
        <f t="shared" si="147"/>
        <v>0</v>
      </c>
      <c r="M290" s="91">
        <f t="shared" si="147"/>
        <v>0</v>
      </c>
      <c r="N290" s="91">
        <f t="shared" si="147"/>
        <v>0</v>
      </c>
      <c r="O290" s="91">
        <f t="shared" si="147"/>
        <v>0</v>
      </c>
      <c r="P290" s="91">
        <f t="shared" si="147"/>
        <v>0</v>
      </c>
      <c r="Q290" s="91">
        <f t="shared" si="147"/>
        <v>0</v>
      </c>
      <c r="R290" s="91">
        <f t="shared" si="147"/>
        <v>0</v>
      </c>
      <c r="S290" s="91">
        <f t="shared" si="147"/>
        <v>0</v>
      </c>
      <c r="T290" s="91">
        <f t="shared" si="147"/>
        <v>0</v>
      </c>
      <c r="U290" s="91">
        <f t="shared" si="147"/>
        <v>0</v>
      </c>
      <c r="V290" s="91">
        <f t="shared" si="147"/>
        <v>0</v>
      </c>
      <c r="W290" s="91">
        <f t="shared" si="147"/>
        <v>0</v>
      </c>
      <c r="X290" s="91">
        <f t="shared" si="147"/>
        <v>0</v>
      </c>
      <c r="Y290" s="91">
        <f t="shared" si="147"/>
        <v>0</v>
      </c>
      <c r="Z290" s="91">
        <f t="shared" si="147"/>
        <v>0</v>
      </c>
      <c r="AA290" s="91">
        <f t="shared" si="147"/>
        <v>0</v>
      </c>
      <c r="AB290" s="91">
        <f t="shared" si="147"/>
        <v>0</v>
      </c>
      <c r="AC290" s="91">
        <f t="shared" si="147"/>
        <v>0</v>
      </c>
      <c r="AD290" s="91">
        <f t="shared" si="147"/>
        <v>0</v>
      </c>
      <c r="AE290" s="91">
        <f t="shared" si="147"/>
        <v>0</v>
      </c>
      <c r="AF290" s="91">
        <f t="shared" si="147"/>
        <v>0</v>
      </c>
      <c r="AG290" s="91">
        <f t="shared" si="147"/>
        <v>0</v>
      </c>
      <c r="AH290" s="91">
        <f t="shared" si="147"/>
        <v>0</v>
      </c>
      <c r="AI290" s="91">
        <f t="shared" si="147"/>
        <v>0</v>
      </c>
      <c r="AJ290" s="91">
        <f t="shared" si="147"/>
        <v>0</v>
      </c>
    </row>
    <row r="292" spans="2:36" ht="27.75" customHeight="1">
      <c r="B292" s="62" t="s">
        <v>185</v>
      </c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</row>
    <row r="293" spans="2:36">
      <c r="B293" s="354" t="s">
        <v>62</v>
      </c>
      <c r="C293" s="354" t="s">
        <v>177</v>
      </c>
      <c r="D293" s="354" t="s">
        <v>184</v>
      </c>
      <c r="E293" s="72">
        <f t="shared" ref="E293:N296" si="148">O52</f>
        <v>1</v>
      </c>
      <c r="F293" s="72">
        <f t="shared" si="148"/>
        <v>2</v>
      </c>
      <c r="G293" s="72">
        <f t="shared" si="148"/>
        <v>3</v>
      </c>
      <c r="H293" s="72">
        <f t="shared" si="148"/>
        <v>4</v>
      </c>
      <c r="I293" s="72">
        <f t="shared" si="148"/>
        <v>5</v>
      </c>
      <c r="J293" s="72">
        <f t="shared" si="148"/>
        <v>6</v>
      </c>
      <c r="K293" s="72">
        <f t="shared" si="148"/>
        <v>7</v>
      </c>
      <c r="L293" s="72">
        <f t="shared" si="148"/>
        <v>8</v>
      </c>
      <c r="M293" s="72">
        <f t="shared" si="148"/>
        <v>9</v>
      </c>
      <c r="N293" s="72">
        <f t="shared" si="148"/>
        <v>10</v>
      </c>
      <c r="O293" s="72">
        <f t="shared" ref="O293:X296" si="149">Y52</f>
        <v>11</v>
      </c>
      <c r="P293" s="72">
        <f t="shared" si="149"/>
        <v>12</v>
      </c>
      <c r="Q293" s="72">
        <f t="shared" si="149"/>
        <v>13</v>
      </c>
      <c r="R293" s="72">
        <f t="shared" si="149"/>
        <v>14</v>
      </c>
      <c r="S293" s="72">
        <f t="shared" si="149"/>
        <v>15</v>
      </c>
      <c r="T293" s="72">
        <f t="shared" si="149"/>
        <v>16</v>
      </c>
      <c r="U293" s="72">
        <f t="shared" si="149"/>
        <v>17</v>
      </c>
      <c r="V293" s="72">
        <f t="shared" si="149"/>
        <v>18</v>
      </c>
      <c r="W293" s="72">
        <f t="shared" si="149"/>
        <v>19</v>
      </c>
      <c r="X293" s="72">
        <f t="shared" si="149"/>
        <v>20</v>
      </c>
      <c r="Y293" s="72">
        <f t="shared" ref="Y293:AH296" si="150">AI52</f>
        <v>21</v>
      </c>
      <c r="Z293" s="72">
        <f t="shared" si="150"/>
        <v>22</v>
      </c>
      <c r="AA293" s="72">
        <f t="shared" si="150"/>
        <v>23</v>
      </c>
      <c r="AB293" s="72">
        <f t="shared" si="150"/>
        <v>24</v>
      </c>
      <c r="AC293" s="72">
        <f t="shared" si="150"/>
        <v>25</v>
      </c>
      <c r="AD293" s="72">
        <f t="shared" si="150"/>
        <v>26</v>
      </c>
      <c r="AE293" s="72">
        <f t="shared" si="150"/>
        <v>27</v>
      </c>
      <c r="AF293" s="72">
        <f t="shared" si="150"/>
        <v>28</v>
      </c>
      <c r="AG293" s="72">
        <f t="shared" si="150"/>
        <v>29</v>
      </c>
      <c r="AH293" s="72">
        <f t="shared" si="150"/>
        <v>30</v>
      </c>
    </row>
    <row r="294" spans="2:36">
      <c r="B294" s="355"/>
      <c r="C294" s="355"/>
      <c r="D294" s="355"/>
      <c r="E294" s="73">
        <f t="shared" si="148"/>
        <v>46023</v>
      </c>
      <c r="F294" s="73">
        <f t="shared" si="148"/>
        <v>46113</v>
      </c>
      <c r="G294" s="73">
        <f t="shared" si="148"/>
        <v>46204</v>
      </c>
      <c r="H294" s="73">
        <f t="shared" si="148"/>
        <v>46296</v>
      </c>
      <c r="I294" s="73">
        <f t="shared" si="148"/>
        <v>46388</v>
      </c>
      <c r="J294" s="73">
        <f t="shared" si="148"/>
        <v>46478</v>
      </c>
      <c r="K294" s="73">
        <f t="shared" si="148"/>
        <v>46569</v>
      </c>
      <c r="L294" s="73">
        <f t="shared" si="148"/>
        <v>46661</v>
      </c>
      <c r="M294" s="73">
        <f t="shared" si="148"/>
        <v>46753</v>
      </c>
      <c r="N294" s="73">
        <f t="shared" si="148"/>
        <v>46844</v>
      </c>
      <c r="O294" s="73">
        <f t="shared" si="149"/>
        <v>46935</v>
      </c>
      <c r="P294" s="73">
        <f t="shared" si="149"/>
        <v>47027</v>
      </c>
      <c r="Q294" s="73">
        <f t="shared" si="149"/>
        <v>47119</v>
      </c>
      <c r="R294" s="73">
        <f t="shared" si="149"/>
        <v>47209</v>
      </c>
      <c r="S294" s="73">
        <f t="shared" si="149"/>
        <v>47300</v>
      </c>
      <c r="T294" s="73">
        <f t="shared" si="149"/>
        <v>47392</v>
      </c>
      <c r="U294" s="73">
        <f t="shared" si="149"/>
        <v>47484</v>
      </c>
      <c r="V294" s="73">
        <f t="shared" si="149"/>
        <v>47574</v>
      </c>
      <c r="W294" s="73">
        <f t="shared" si="149"/>
        <v>47665</v>
      </c>
      <c r="X294" s="73">
        <f t="shared" si="149"/>
        <v>47757</v>
      </c>
      <c r="Y294" s="73">
        <f t="shared" si="150"/>
        <v>47849</v>
      </c>
      <c r="Z294" s="73">
        <f t="shared" si="150"/>
        <v>47939</v>
      </c>
      <c r="AA294" s="73">
        <f t="shared" si="150"/>
        <v>48030</v>
      </c>
      <c r="AB294" s="73">
        <f t="shared" si="150"/>
        <v>48122</v>
      </c>
      <c r="AC294" s="73">
        <f t="shared" si="150"/>
        <v>48214</v>
      </c>
      <c r="AD294" s="73">
        <f t="shared" si="150"/>
        <v>48305</v>
      </c>
      <c r="AE294" s="73">
        <f t="shared" si="150"/>
        <v>48396</v>
      </c>
      <c r="AF294" s="73">
        <f t="shared" si="150"/>
        <v>48488</v>
      </c>
      <c r="AG294" s="73">
        <f t="shared" si="150"/>
        <v>48580</v>
      </c>
      <c r="AH294" s="73">
        <f t="shared" si="150"/>
        <v>48670</v>
      </c>
    </row>
    <row r="295" spans="2:36">
      <c r="B295" s="355"/>
      <c r="C295" s="355"/>
      <c r="D295" s="355"/>
      <c r="E295" s="73">
        <f t="shared" si="148"/>
        <v>46112</v>
      </c>
      <c r="F295" s="73">
        <f t="shared" si="148"/>
        <v>46203</v>
      </c>
      <c r="G295" s="73">
        <f t="shared" si="148"/>
        <v>46295</v>
      </c>
      <c r="H295" s="73">
        <f t="shared" si="148"/>
        <v>46387</v>
      </c>
      <c r="I295" s="73">
        <f t="shared" si="148"/>
        <v>46477</v>
      </c>
      <c r="J295" s="73">
        <f t="shared" si="148"/>
        <v>46568</v>
      </c>
      <c r="K295" s="73">
        <f t="shared" si="148"/>
        <v>46660</v>
      </c>
      <c r="L295" s="73">
        <f t="shared" si="148"/>
        <v>46752</v>
      </c>
      <c r="M295" s="73">
        <f t="shared" si="148"/>
        <v>46843</v>
      </c>
      <c r="N295" s="73">
        <f t="shared" si="148"/>
        <v>46934</v>
      </c>
      <c r="O295" s="73">
        <f t="shared" si="149"/>
        <v>47026</v>
      </c>
      <c r="P295" s="73">
        <f t="shared" si="149"/>
        <v>47118</v>
      </c>
      <c r="Q295" s="73">
        <f t="shared" si="149"/>
        <v>47208</v>
      </c>
      <c r="R295" s="73">
        <f t="shared" si="149"/>
        <v>47299</v>
      </c>
      <c r="S295" s="73">
        <f t="shared" si="149"/>
        <v>47391</v>
      </c>
      <c r="T295" s="73">
        <f t="shared" si="149"/>
        <v>47483</v>
      </c>
      <c r="U295" s="73">
        <f t="shared" si="149"/>
        <v>47573</v>
      </c>
      <c r="V295" s="73">
        <f t="shared" si="149"/>
        <v>47664</v>
      </c>
      <c r="W295" s="73">
        <f t="shared" si="149"/>
        <v>47756</v>
      </c>
      <c r="X295" s="73">
        <f t="shared" si="149"/>
        <v>47848</v>
      </c>
      <c r="Y295" s="73">
        <f t="shared" si="150"/>
        <v>47938</v>
      </c>
      <c r="Z295" s="73">
        <f t="shared" si="150"/>
        <v>48029</v>
      </c>
      <c r="AA295" s="73">
        <f t="shared" si="150"/>
        <v>48121</v>
      </c>
      <c r="AB295" s="73">
        <f t="shared" si="150"/>
        <v>48213</v>
      </c>
      <c r="AC295" s="73">
        <f t="shared" si="150"/>
        <v>48304</v>
      </c>
      <c r="AD295" s="73">
        <f t="shared" si="150"/>
        <v>48395</v>
      </c>
      <c r="AE295" s="73">
        <f t="shared" si="150"/>
        <v>48487</v>
      </c>
      <c r="AF295" s="73">
        <f t="shared" si="150"/>
        <v>48579</v>
      </c>
      <c r="AG295" s="73">
        <f t="shared" si="150"/>
        <v>48669</v>
      </c>
      <c r="AH295" s="73">
        <f t="shared" si="150"/>
        <v>48760</v>
      </c>
    </row>
    <row r="296" spans="2:36">
      <c r="B296" s="356"/>
      <c r="C296" s="356"/>
      <c r="D296" s="356"/>
      <c r="E296" s="73" t="str">
        <f t="shared" si="148"/>
        <v>1 кв 2026</v>
      </c>
      <c r="F296" s="73" t="str">
        <f t="shared" si="148"/>
        <v>2 кв 2026</v>
      </c>
      <c r="G296" s="73" t="str">
        <f t="shared" si="148"/>
        <v>3 кв 2026</v>
      </c>
      <c r="H296" s="73" t="str">
        <f t="shared" si="148"/>
        <v>4 кв 2026</v>
      </c>
      <c r="I296" s="73" t="str">
        <f t="shared" si="148"/>
        <v>1 кв 2027</v>
      </c>
      <c r="J296" s="73" t="str">
        <f t="shared" si="148"/>
        <v>2 кв 2027</v>
      </c>
      <c r="K296" s="73" t="str">
        <f t="shared" si="148"/>
        <v>3 кв 2027</v>
      </c>
      <c r="L296" s="73" t="str">
        <f t="shared" si="148"/>
        <v>4 кв 2027</v>
      </c>
      <c r="M296" s="73" t="str">
        <f t="shared" si="148"/>
        <v>1 кв 2028</v>
      </c>
      <c r="N296" s="73" t="str">
        <f t="shared" si="148"/>
        <v>2 кв 2028</v>
      </c>
      <c r="O296" s="73" t="str">
        <f t="shared" si="149"/>
        <v>3 кв 2028</v>
      </c>
      <c r="P296" s="73" t="str">
        <f t="shared" si="149"/>
        <v>4 кв 2028</v>
      </c>
      <c r="Q296" s="73" t="str">
        <f t="shared" si="149"/>
        <v>1 кв 2029</v>
      </c>
      <c r="R296" s="73" t="str">
        <f t="shared" si="149"/>
        <v>2 кв 2029</v>
      </c>
      <c r="S296" s="73" t="str">
        <f t="shared" si="149"/>
        <v>3 кв 2029</v>
      </c>
      <c r="T296" s="73" t="str">
        <f t="shared" si="149"/>
        <v>4 кв 2029</v>
      </c>
      <c r="U296" s="73" t="str">
        <f t="shared" si="149"/>
        <v>1 кв 2030</v>
      </c>
      <c r="V296" s="73" t="str">
        <f t="shared" si="149"/>
        <v>2 кв 2030</v>
      </c>
      <c r="W296" s="73" t="str">
        <f t="shared" si="149"/>
        <v>3 кв 2030</v>
      </c>
      <c r="X296" s="73" t="str">
        <f t="shared" si="149"/>
        <v>4 кв 2030</v>
      </c>
      <c r="Y296" s="73" t="str">
        <f t="shared" si="150"/>
        <v>1 кв 2031</v>
      </c>
      <c r="Z296" s="73" t="str">
        <f t="shared" si="150"/>
        <v>2 кв 2031</v>
      </c>
      <c r="AA296" s="73" t="str">
        <f t="shared" si="150"/>
        <v>3 кв 2031</v>
      </c>
      <c r="AB296" s="73" t="str">
        <f t="shared" si="150"/>
        <v>4 кв 2031</v>
      </c>
      <c r="AC296" s="73" t="str">
        <f t="shared" si="150"/>
        <v>1 кв 2032</v>
      </c>
      <c r="AD296" s="73" t="str">
        <f t="shared" si="150"/>
        <v>2 кв 2032</v>
      </c>
      <c r="AE296" s="73" t="str">
        <f t="shared" si="150"/>
        <v>3 кв 2032</v>
      </c>
      <c r="AF296" s="73" t="str">
        <f t="shared" si="150"/>
        <v>4 кв 2032</v>
      </c>
      <c r="AG296" s="73" t="str">
        <f t="shared" si="150"/>
        <v>1 кв 2033</v>
      </c>
      <c r="AH296" s="73" t="str">
        <f t="shared" si="150"/>
        <v>2 кв 2033</v>
      </c>
    </row>
    <row r="297" spans="2:36">
      <c r="B297" s="64" t="s">
        <v>521</v>
      </c>
      <c r="C297" s="92" t="s">
        <v>181</v>
      </c>
      <c r="D297" s="93">
        <v>65</v>
      </c>
      <c r="E297" s="94"/>
      <c r="F297" s="94"/>
      <c r="G297" s="94">
        <v>4</v>
      </c>
      <c r="H297" s="94">
        <v>4</v>
      </c>
      <c r="I297" s="94">
        <v>4</v>
      </c>
      <c r="J297" s="94">
        <v>4</v>
      </c>
      <c r="K297" s="94">
        <v>4</v>
      </c>
      <c r="L297" s="94">
        <v>4</v>
      </c>
      <c r="M297" s="94">
        <v>4</v>
      </c>
      <c r="N297" s="94">
        <v>4</v>
      </c>
      <c r="O297" s="94">
        <v>4</v>
      </c>
      <c r="P297" s="94">
        <v>4</v>
      </c>
      <c r="Q297" s="94">
        <v>4</v>
      </c>
      <c r="R297" s="94">
        <v>4</v>
      </c>
      <c r="S297" s="94">
        <v>4</v>
      </c>
      <c r="T297" s="94">
        <v>4</v>
      </c>
      <c r="U297" s="94">
        <v>4</v>
      </c>
      <c r="V297" s="94">
        <v>4</v>
      </c>
      <c r="W297" s="94">
        <v>4</v>
      </c>
      <c r="X297" s="94">
        <v>4</v>
      </c>
      <c r="Y297" s="94">
        <v>4</v>
      </c>
      <c r="Z297" s="94">
        <v>4</v>
      </c>
      <c r="AA297" s="94">
        <v>4</v>
      </c>
      <c r="AB297" s="94">
        <v>4</v>
      </c>
      <c r="AC297" s="94">
        <v>4</v>
      </c>
      <c r="AD297" s="94">
        <v>4</v>
      </c>
      <c r="AE297" s="94">
        <v>4</v>
      </c>
      <c r="AF297" s="94">
        <v>4</v>
      </c>
      <c r="AG297" s="94">
        <v>4</v>
      </c>
      <c r="AH297" s="94"/>
    </row>
    <row r="298" spans="2:36">
      <c r="B298" s="64" t="s">
        <v>522</v>
      </c>
      <c r="C298" s="92" t="s">
        <v>181</v>
      </c>
      <c r="D298" s="93">
        <v>45</v>
      </c>
      <c r="E298" s="94"/>
      <c r="F298" s="94"/>
      <c r="G298" s="94">
        <v>2</v>
      </c>
      <c r="H298" s="94">
        <v>2</v>
      </c>
      <c r="I298" s="94">
        <v>2</v>
      </c>
      <c r="J298" s="94">
        <v>2</v>
      </c>
      <c r="K298" s="94">
        <v>2</v>
      </c>
      <c r="L298" s="94">
        <v>2</v>
      </c>
      <c r="M298" s="94">
        <v>2</v>
      </c>
      <c r="N298" s="94">
        <v>2</v>
      </c>
      <c r="O298" s="94">
        <v>2</v>
      </c>
      <c r="P298" s="94">
        <v>2</v>
      </c>
      <c r="Q298" s="94">
        <v>2</v>
      </c>
      <c r="R298" s="94">
        <v>2</v>
      </c>
      <c r="S298" s="94">
        <v>2</v>
      </c>
      <c r="T298" s="94">
        <v>2</v>
      </c>
      <c r="U298" s="94">
        <v>2</v>
      </c>
      <c r="V298" s="94">
        <v>2</v>
      </c>
      <c r="W298" s="94">
        <v>2</v>
      </c>
      <c r="X298" s="94">
        <v>2</v>
      </c>
      <c r="Y298" s="94">
        <v>2</v>
      </c>
      <c r="Z298" s="94">
        <v>2</v>
      </c>
      <c r="AA298" s="94">
        <v>2</v>
      </c>
      <c r="AB298" s="94">
        <v>2</v>
      </c>
      <c r="AC298" s="94">
        <v>2</v>
      </c>
      <c r="AD298" s="94">
        <v>2</v>
      </c>
      <c r="AE298" s="94">
        <v>2</v>
      </c>
      <c r="AF298" s="94">
        <v>2</v>
      </c>
      <c r="AG298" s="94">
        <v>2</v>
      </c>
      <c r="AH298" s="94"/>
    </row>
    <row r="299" spans="2:36" outlineLevel="1">
      <c r="B299" s="64" t="s">
        <v>523</v>
      </c>
      <c r="C299" s="92"/>
      <c r="D299" s="93"/>
      <c r="E299" s="94"/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  <c r="AA299" s="94"/>
      <c r="AB299" s="94"/>
      <c r="AC299" s="94"/>
      <c r="AD299" s="94"/>
      <c r="AE299" s="94"/>
      <c r="AF299" s="94"/>
      <c r="AG299" s="94"/>
      <c r="AH299" s="94"/>
    </row>
    <row r="300" spans="2:36" outlineLevel="1">
      <c r="B300" s="64" t="s">
        <v>524</v>
      </c>
      <c r="C300" s="92"/>
      <c r="D300" s="93"/>
      <c r="E300" s="94"/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  <c r="AA300" s="94"/>
      <c r="AB300" s="94"/>
      <c r="AC300" s="94"/>
      <c r="AD300" s="94"/>
      <c r="AE300" s="94"/>
      <c r="AF300" s="94"/>
      <c r="AG300" s="94"/>
      <c r="AH300" s="94"/>
    </row>
    <row r="301" spans="2:36" outlineLevel="1">
      <c r="B301" s="64" t="s">
        <v>525</v>
      </c>
      <c r="C301" s="92"/>
      <c r="D301" s="93"/>
      <c r="E301" s="94"/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  <c r="AA301" s="94"/>
      <c r="AB301" s="94"/>
      <c r="AC301" s="94"/>
      <c r="AD301" s="94"/>
      <c r="AE301" s="94"/>
      <c r="AF301" s="94"/>
      <c r="AG301" s="94"/>
      <c r="AH301" s="94"/>
    </row>
    <row r="302" spans="2:36" outlineLevel="1">
      <c r="B302" s="64" t="s">
        <v>526</v>
      </c>
      <c r="C302" s="92"/>
      <c r="D302" s="93"/>
      <c r="E302" s="94"/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  <c r="AA302" s="94"/>
      <c r="AB302" s="94"/>
      <c r="AC302" s="94"/>
      <c r="AD302" s="94"/>
      <c r="AE302" s="94"/>
      <c r="AF302" s="94"/>
      <c r="AG302" s="94"/>
      <c r="AH302" s="94"/>
    </row>
    <row r="303" spans="2:36" outlineLevel="1">
      <c r="B303" s="64" t="s">
        <v>527</v>
      </c>
      <c r="C303" s="92"/>
      <c r="D303" s="93"/>
      <c r="E303" s="94"/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  <c r="AA303" s="94"/>
      <c r="AB303" s="94"/>
      <c r="AC303" s="94"/>
      <c r="AD303" s="94"/>
      <c r="AE303" s="94"/>
      <c r="AF303" s="94"/>
      <c r="AG303" s="94"/>
      <c r="AH303" s="94"/>
    </row>
    <row r="304" spans="2:36" outlineLevel="1">
      <c r="B304" s="64" t="s">
        <v>528</v>
      </c>
      <c r="C304" s="92"/>
      <c r="D304" s="93"/>
      <c r="E304" s="94"/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  <c r="AA304" s="94"/>
      <c r="AB304" s="94"/>
      <c r="AC304" s="94"/>
      <c r="AD304" s="94"/>
      <c r="AE304" s="94"/>
      <c r="AF304" s="94"/>
      <c r="AG304" s="94"/>
      <c r="AH304" s="94"/>
    </row>
    <row r="305" spans="2:34" outlineLevel="1">
      <c r="B305" s="64" t="s">
        <v>529</v>
      </c>
      <c r="C305" s="92"/>
      <c r="D305" s="93"/>
      <c r="E305" s="94"/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  <c r="AA305" s="94"/>
      <c r="AB305" s="94"/>
      <c r="AC305" s="94"/>
      <c r="AD305" s="94"/>
      <c r="AE305" s="94"/>
      <c r="AF305" s="94"/>
      <c r="AG305" s="94"/>
      <c r="AH305" s="94"/>
    </row>
    <row r="306" spans="2:34" outlineLevel="1">
      <c r="B306" s="64" t="s">
        <v>530</v>
      </c>
      <c r="C306" s="92"/>
      <c r="D306" s="93"/>
      <c r="E306" s="94"/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  <c r="AA306" s="94"/>
      <c r="AB306" s="94"/>
      <c r="AC306" s="94"/>
      <c r="AD306" s="94"/>
      <c r="AE306" s="94"/>
      <c r="AF306" s="94"/>
      <c r="AG306" s="94"/>
      <c r="AH306" s="94"/>
    </row>
    <row r="307" spans="2:34" outlineLevel="1">
      <c r="B307" s="64" t="s">
        <v>531</v>
      </c>
      <c r="C307" s="92"/>
      <c r="D307" s="93"/>
      <c r="E307" s="94"/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  <c r="AA307" s="94"/>
      <c r="AB307" s="94"/>
      <c r="AC307" s="94"/>
      <c r="AD307" s="94"/>
      <c r="AE307" s="94"/>
      <c r="AF307" s="94"/>
      <c r="AG307" s="94"/>
      <c r="AH307" s="94"/>
    </row>
    <row r="308" spans="2:34">
      <c r="B308" s="90" t="s">
        <v>190</v>
      </c>
      <c r="C308" s="172" t="s">
        <v>392</v>
      </c>
      <c r="D308" s="172" t="s">
        <v>392</v>
      </c>
      <c r="E308" s="99">
        <f>SUM(E297:E307)</f>
        <v>0</v>
      </c>
      <c r="F308" s="99">
        <f t="shared" ref="F308" si="151">SUM(F297:F307)</f>
        <v>0</v>
      </c>
      <c r="G308" s="99">
        <f t="shared" ref="G308" si="152">SUM(G297:G307)</f>
        <v>6</v>
      </c>
      <c r="H308" s="99">
        <f t="shared" ref="H308" si="153">SUM(H297:H307)</f>
        <v>6</v>
      </c>
      <c r="I308" s="99">
        <f t="shared" ref="I308" si="154">SUM(I297:I307)</f>
        <v>6</v>
      </c>
      <c r="J308" s="99">
        <f t="shared" ref="J308" si="155">SUM(J297:J307)</f>
        <v>6</v>
      </c>
      <c r="K308" s="99">
        <f t="shared" ref="K308" si="156">SUM(K297:K307)</f>
        <v>6</v>
      </c>
      <c r="L308" s="99">
        <f t="shared" ref="L308" si="157">SUM(L297:L307)</f>
        <v>6</v>
      </c>
      <c r="M308" s="99">
        <f t="shared" ref="M308" si="158">SUM(M297:M307)</f>
        <v>6</v>
      </c>
      <c r="N308" s="99">
        <f t="shared" ref="N308" si="159">SUM(N297:N307)</f>
        <v>6</v>
      </c>
      <c r="O308" s="99">
        <f t="shared" ref="O308" si="160">SUM(O297:O307)</f>
        <v>6</v>
      </c>
      <c r="P308" s="99">
        <f t="shared" ref="P308" si="161">SUM(P297:P307)</f>
        <v>6</v>
      </c>
      <c r="Q308" s="99">
        <f t="shared" ref="Q308" si="162">SUM(Q297:Q307)</f>
        <v>6</v>
      </c>
      <c r="R308" s="99">
        <f t="shared" ref="R308" si="163">SUM(R297:R307)</f>
        <v>6</v>
      </c>
      <c r="S308" s="99">
        <f t="shared" ref="S308" si="164">SUM(S297:S307)</f>
        <v>6</v>
      </c>
      <c r="T308" s="99">
        <f t="shared" ref="T308" si="165">SUM(T297:T307)</f>
        <v>6</v>
      </c>
      <c r="U308" s="99">
        <f t="shared" ref="U308" si="166">SUM(U297:U307)</f>
        <v>6</v>
      </c>
      <c r="V308" s="99">
        <f t="shared" ref="V308" si="167">SUM(V297:V307)</f>
        <v>6</v>
      </c>
      <c r="W308" s="99">
        <f t="shared" ref="W308" si="168">SUM(W297:W307)</f>
        <v>6</v>
      </c>
      <c r="X308" s="99">
        <f t="shared" ref="X308" si="169">SUM(X297:X307)</f>
        <v>6</v>
      </c>
      <c r="Y308" s="99">
        <f t="shared" ref="Y308" si="170">SUM(Y297:Y307)</f>
        <v>6</v>
      </c>
      <c r="Z308" s="99">
        <f t="shared" ref="Z308" si="171">SUM(Z297:Z307)</f>
        <v>6</v>
      </c>
      <c r="AA308" s="99">
        <f t="shared" ref="AA308" si="172">SUM(AA297:AA307)</f>
        <v>6</v>
      </c>
      <c r="AB308" s="99">
        <f t="shared" ref="AB308" si="173">SUM(AB297:AB307)</f>
        <v>6</v>
      </c>
      <c r="AC308" s="99">
        <f t="shared" ref="AC308" si="174">SUM(AC297:AC307)</f>
        <v>6</v>
      </c>
      <c r="AD308" s="99">
        <f t="shared" ref="AD308" si="175">SUM(AD297:AD307)</f>
        <v>6</v>
      </c>
      <c r="AE308" s="99">
        <f t="shared" ref="AE308" si="176">SUM(AE297:AE307)</f>
        <v>6</v>
      </c>
      <c r="AF308" s="99">
        <f t="shared" ref="AF308" si="177">SUM(AF297:AF307)</f>
        <v>6</v>
      </c>
      <c r="AG308" s="99">
        <f t="shared" ref="AG308" si="178">SUM(AG297:AG307)</f>
        <v>6</v>
      </c>
      <c r="AH308" s="99">
        <f t="shared" ref="AH308" si="179">SUM(AH297:AH307)</f>
        <v>0</v>
      </c>
    </row>
    <row r="309" spans="2:34">
      <c r="B309" s="90" t="s">
        <v>421</v>
      </c>
      <c r="C309" s="172" t="s">
        <v>392</v>
      </c>
      <c r="D309" s="172" t="s">
        <v>392</v>
      </c>
      <c r="E309" s="91">
        <f>ROUND(3*SUMPRODUCT($D$297:$D$307,E297:E307),2)</f>
        <v>0</v>
      </c>
      <c r="F309" s="91">
        <f t="shared" ref="F309:H309" si="180">ROUND(3*SUMPRODUCT($D$297:$D$307,F297:F307),2)</f>
        <v>0</v>
      </c>
      <c r="G309" s="91">
        <f t="shared" si="180"/>
        <v>1050</v>
      </c>
      <c r="H309" s="91">
        <f t="shared" si="180"/>
        <v>1050</v>
      </c>
      <c r="I309" s="91">
        <f t="shared" ref="I309:AH309" si="181">ROUND(3*SUMPRODUCT($D$297:$D$307,I297:I307),2)</f>
        <v>1050</v>
      </c>
      <c r="J309" s="91">
        <f t="shared" si="181"/>
        <v>1050</v>
      </c>
      <c r="K309" s="91">
        <f t="shared" si="181"/>
        <v>1050</v>
      </c>
      <c r="L309" s="91">
        <f t="shared" si="181"/>
        <v>1050</v>
      </c>
      <c r="M309" s="91">
        <f t="shared" si="181"/>
        <v>1050</v>
      </c>
      <c r="N309" s="91">
        <f t="shared" si="181"/>
        <v>1050</v>
      </c>
      <c r="O309" s="91">
        <f t="shared" si="181"/>
        <v>1050</v>
      </c>
      <c r="P309" s="91">
        <f t="shared" si="181"/>
        <v>1050</v>
      </c>
      <c r="Q309" s="91">
        <f t="shared" si="181"/>
        <v>1050</v>
      </c>
      <c r="R309" s="91">
        <f t="shared" si="181"/>
        <v>1050</v>
      </c>
      <c r="S309" s="91">
        <f t="shared" si="181"/>
        <v>1050</v>
      </c>
      <c r="T309" s="91">
        <f t="shared" si="181"/>
        <v>1050</v>
      </c>
      <c r="U309" s="91">
        <f t="shared" si="181"/>
        <v>1050</v>
      </c>
      <c r="V309" s="91">
        <f t="shared" si="181"/>
        <v>1050</v>
      </c>
      <c r="W309" s="91">
        <f t="shared" si="181"/>
        <v>1050</v>
      </c>
      <c r="X309" s="91">
        <f t="shared" si="181"/>
        <v>1050</v>
      </c>
      <c r="Y309" s="91">
        <f t="shared" si="181"/>
        <v>1050</v>
      </c>
      <c r="Z309" s="91">
        <f t="shared" si="181"/>
        <v>1050</v>
      </c>
      <c r="AA309" s="91">
        <f t="shared" si="181"/>
        <v>1050</v>
      </c>
      <c r="AB309" s="91">
        <f t="shared" si="181"/>
        <v>1050</v>
      </c>
      <c r="AC309" s="91">
        <f t="shared" si="181"/>
        <v>1050</v>
      </c>
      <c r="AD309" s="91">
        <f t="shared" si="181"/>
        <v>1050</v>
      </c>
      <c r="AE309" s="91">
        <f t="shared" si="181"/>
        <v>1050</v>
      </c>
      <c r="AF309" s="91">
        <f t="shared" si="181"/>
        <v>1050</v>
      </c>
      <c r="AG309" s="91">
        <f t="shared" si="181"/>
        <v>1050</v>
      </c>
      <c r="AH309" s="91">
        <f t="shared" si="181"/>
        <v>0</v>
      </c>
    </row>
    <row r="310" spans="2:34">
      <c r="B310" s="90" t="s">
        <v>186</v>
      </c>
      <c r="C310" s="172" t="s">
        <v>392</v>
      </c>
      <c r="D310" s="172" t="s">
        <v>392</v>
      </c>
      <c r="E310" s="91">
        <f>(IF($C$15=справочник!$A$16,(IF(E308=0,0,(E309/3/E308-26))*15%+26*30.2%)*E308*3,Предпосылки!E309*30.2%))</f>
        <v>0</v>
      </c>
      <c r="F310" s="91">
        <f>(IF($C$15=справочник!$A$16,(IF(F308=0,0,(F309/3/F308-26))*15%+26*30.2%)*F308*3,Предпосылки!F309*30.2%))</f>
        <v>0</v>
      </c>
      <c r="G310" s="91">
        <f>(IF($C$15=справочник!$A$16,(IF(G308=0,0,(G309/3/G308-26))*15%+26*30.2%)*G308*3,Предпосылки!G309*30.2%))</f>
        <v>228.63600000000002</v>
      </c>
      <c r="H310" s="91">
        <f>(IF($C$15=справочник!$A$16,(IF(H308=0,0,(H309/3/H308-26))*15%+26*30.2%)*H308*3,Предпосылки!H309*30.2%))</f>
        <v>228.63600000000002</v>
      </c>
      <c r="I310" s="91">
        <f>(IF($C$15=справочник!$A$16,(IF(I308=0,0,(I309/3/I308-26))*15%+26*30.2%)*I308*3,Предпосылки!I309*30.2%))</f>
        <v>228.63600000000002</v>
      </c>
      <c r="J310" s="91">
        <f>(IF($C$15=справочник!$A$16,(IF(J308=0,0,(J309/3/J308-26))*15%+26*30.2%)*J308*3,Предпосылки!J309*30.2%))</f>
        <v>228.63600000000002</v>
      </c>
      <c r="K310" s="91">
        <f>(IF($C$15=справочник!$A$16,(IF(K308=0,0,(K309/3/K308-26))*15%+26*30.2%)*K308*3,Предпосылки!K309*30.2%))</f>
        <v>228.63600000000002</v>
      </c>
      <c r="L310" s="91">
        <f>(IF($C$15=справочник!$A$16,(IF(L308=0,0,(L309/3/L308-26))*15%+26*30.2%)*L308*3,Предпосылки!L309*30.2%))</f>
        <v>228.63600000000002</v>
      </c>
      <c r="M310" s="91">
        <f>(IF($C$15=справочник!$A$16,(IF(M308=0,0,(M309/3/M308-26))*15%+26*30.2%)*M308*3,Предпосылки!M309*30.2%))</f>
        <v>228.63600000000002</v>
      </c>
      <c r="N310" s="91">
        <f>(IF($C$15=справочник!$A$16,(IF(N308=0,0,(N309/3/N308-26))*15%+26*30.2%)*N308*3,Предпосылки!N309*30.2%))</f>
        <v>228.63600000000002</v>
      </c>
      <c r="O310" s="91">
        <f>(IF($C$15=справочник!$A$16,(IF(O308=0,0,(O309/3/O308-26))*15%+26*30.2%)*O308*3,Предпосылки!O309*30.2%))</f>
        <v>228.63600000000002</v>
      </c>
      <c r="P310" s="91">
        <f>(IF($C$15=справочник!$A$16,(IF(P308=0,0,(P309/3/P308-26))*15%+26*30.2%)*P308*3,Предпосылки!P309*30.2%))</f>
        <v>228.63600000000002</v>
      </c>
      <c r="Q310" s="91">
        <f>(IF($C$15=справочник!$A$16,(IF(Q308=0,0,(Q309/3/Q308-26))*15%+26*30.2%)*Q308*3,Предпосылки!Q309*30.2%))</f>
        <v>228.63600000000002</v>
      </c>
      <c r="R310" s="91">
        <f>(IF($C$15=справочник!$A$16,(IF(R308=0,0,(R309/3/R308-26))*15%+26*30.2%)*R308*3,Предпосылки!R309*30.2%))</f>
        <v>228.63600000000002</v>
      </c>
      <c r="S310" s="91">
        <f>(IF($C$15=справочник!$A$16,(IF(S308=0,0,(S309/3/S308-26))*15%+26*30.2%)*S308*3,Предпосылки!S309*30.2%))</f>
        <v>228.63600000000002</v>
      </c>
      <c r="T310" s="91">
        <f>(IF($C$15=справочник!$A$16,(IF(T308=0,0,(T309/3/T308-26))*15%+26*30.2%)*T308*3,Предпосылки!T309*30.2%))</f>
        <v>228.63600000000002</v>
      </c>
      <c r="U310" s="91">
        <f>(IF($C$15=справочник!$A$16,(IF(U308=0,0,(U309/3/U308-26))*15%+26*30.2%)*U308*3,Предпосылки!U309*30.2%))</f>
        <v>228.63600000000002</v>
      </c>
      <c r="V310" s="91">
        <f>(IF($C$15=справочник!$A$16,(IF(V308=0,0,(V309/3/V308-26))*15%+26*30.2%)*V308*3,Предпосылки!V309*30.2%))</f>
        <v>228.63600000000002</v>
      </c>
      <c r="W310" s="91">
        <f>(IF($C$15=справочник!$A$16,(IF(W308=0,0,(W309/3/W308-26))*15%+26*30.2%)*W308*3,Предпосылки!W309*30.2%))</f>
        <v>228.63600000000002</v>
      </c>
      <c r="X310" s="91">
        <f>(IF($C$15=справочник!$A$16,(IF(X308=0,0,(X309/3/X308-26))*15%+26*30.2%)*X308*3,Предпосылки!X309*30.2%))</f>
        <v>228.63600000000002</v>
      </c>
      <c r="Y310" s="91">
        <f>(IF($C$15=справочник!$A$16,(IF(Y308=0,0,(Y309/3/Y308-26))*15%+26*30.2%)*Y308*3,Предпосылки!Y309*30.2%))</f>
        <v>228.63600000000002</v>
      </c>
      <c r="Z310" s="91">
        <f>(IF($C$15=справочник!$A$16,(IF(Z308=0,0,(Z309/3/Z308-26))*15%+26*30.2%)*Z308*3,Предпосылки!Z309*30.2%))</f>
        <v>228.63600000000002</v>
      </c>
      <c r="AA310" s="91">
        <f>(IF($C$15=справочник!$A$16,(IF(AA308=0,0,(AA309/3/AA308-26))*15%+26*30.2%)*AA308*3,Предпосылки!AA309*30.2%))</f>
        <v>228.63600000000002</v>
      </c>
      <c r="AB310" s="91">
        <f>(IF($C$15=справочник!$A$16,(IF(AB308=0,0,(AB309/3/AB308-26))*15%+26*30.2%)*AB308*3,Предпосылки!AB309*30.2%))</f>
        <v>228.63600000000002</v>
      </c>
      <c r="AC310" s="91">
        <f>(IF($C$15=справочник!$A$16,(IF(AC308=0,0,(AC309/3/AC308-26))*15%+26*30.2%)*AC308*3,Предпосылки!AC309*30.2%))</f>
        <v>228.63600000000002</v>
      </c>
      <c r="AD310" s="91">
        <f>(IF($C$15=справочник!$A$16,(IF(AD308=0,0,(AD309/3/AD308-26))*15%+26*30.2%)*AD308*3,Предпосылки!AD309*30.2%))</f>
        <v>228.63600000000002</v>
      </c>
      <c r="AE310" s="91">
        <f>(IF($C$15=справочник!$A$16,(IF(AE308=0,0,(AE309/3/AE308-26))*15%+26*30.2%)*AE308*3,Предпосылки!AE309*30.2%))</f>
        <v>228.63600000000002</v>
      </c>
      <c r="AF310" s="91">
        <f>(IF($C$15=справочник!$A$16,(IF(AF308=0,0,(AF309/3/AF308-26))*15%+26*30.2%)*AF308*3,Предпосылки!AF309*30.2%))</f>
        <v>228.63600000000002</v>
      </c>
      <c r="AG310" s="91">
        <f>(IF($C$15=справочник!$A$16,(IF(AG308=0,0,(AG309/3/AG308-26))*15%+26*30.2%)*AG308*3,Предпосылки!AG309*30.2%))</f>
        <v>228.63600000000002</v>
      </c>
      <c r="AH310" s="91">
        <f>(IF($C$15=справочник!$A$16,(IF(AH308=0,0,(AH309/3/AH308-26))*15%+26*30.2%)*AH308*3,Предпосылки!AH309*30.2%))</f>
        <v>0</v>
      </c>
    </row>
    <row r="311" spans="2:34">
      <c r="B311" s="90" t="s">
        <v>187</v>
      </c>
      <c r="C311" s="172" t="s">
        <v>392</v>
      </c>
      <c r="D311" s="172" t="s">
        <v>392</v>
      </c>
      <c r="E311" s="91">
        <f>E309*13%</f>
        <v>0</v>
      </c>
      <c r="F311" s="91">
        <f t="shared" ref="F311:H311" si="182">F309*13%</f>
        <v>0</v>
      </c>
      <c r="G311" s="91">
        <f t="shared" si="182"/>
        <v>136.5</v>
      </c>
      <c r="H311" s="91">
        <f t="shared" si="182"/>
        <v>136.5</v>
      </c>
      <c r="I311" s="91">
        <f t="shared" ref="I311:AH311" si="183">I309*13%</f>
        <v>136.5</v>
      </c>
      <c r="J311" s="91">
        <f t="shared" si="183"/>
        <v>136.5</v>
      </c>
      <c r="K311" s="91">
        <f t="shared" si="183"/>
        <v>136.5</v>
      </c>
      <c r="L311" s="91">
        <f t="shared" si="183"/>
        <v>136.5</v>
      </c>
      <c r="M311" s="91">
        <f t="shared" si="183"/>
        <v>136.5</v>
      </c>
      <c r="N311" s="91">
        <f t="shared" si="183"/>
        <v>136.5</v>
      </c>
      <c r="O311" s="91">
        <f t="shared" si="183"/>
        <v>136.5</v>
      </c>
      <c r="P311" s="91">
        <f t="shared" si="183"/>
        <v>136.5</v>
      </c>
      <c r="Q311" s="91">
        <f t="shared" si="183"/>
        <v>136.5</v>
      </c>
      <c r="R311" s="91">
        <f t="shared" si="183"/>
        <v>136.5</v>
      </c>
      <c r="S311" s="91">
        <f t="shared" si="183"/>
        <v>136.5</v>
      </c>
      <c r="T311" s="91">
        <f t="shared" si="183"/>
        <v>136.5</v>
      </c>
      <c r="U311" s="91">
        <f t="shared" si="183"/>
        <v>136.5</v>
      </c>
      <c r="V311" s="91">
        <f t="shared" si="183"/>
        <v>136.5</v>
      </c>
      <c r="W311" s="91">
        <f t="shared" si="183"/>
        <v>136.5</v>
      </c>
      <c r="X311" s="91">
        <f t="shared" si="183"/>
        <v>136.5</v>
      </c>
      <c r="Y311" s="91">
        <f t="shared" si="183"/>
        <v>136.5</v>
      </c>
      <c r="Z311" s="91">
        <f t="shared" si="183"/>
        <v>136.5</v>
      </c>
      <c r="AA311" s="91">
        <f t="shared" si="183"/>
        <v>136.5</v>
      </c>
      <c r="AB311" s="91">
        <f t="shared" si="183"/>
        <v>136.5</v>
      </c>
      <c r="AC311" s="91">
        <f t="shared" si="183"/>
        <v>136.5</v>
      </c>
      <c r="AD311" s="91">
        <f t="shared" si="183"/>
        <v>136.5</v>
      </c>
      <c r="AE311" s="91">
        <f t="shared" si="183"/>
        <v>136.5</v>
      </c>
      <c r="AF311" s="91">
        <f t="shared" si="183"/>
        <v>136.5</v>
      </c>
      <c r="AG311" s="91">
        <f t="shared" si="183"/>
        <v>136.5</v>
      </c>
      <c r="AH311" s="91">
        <f t="shared" si="183"/>
        <v>0</v>
      </c>
    </row>
    <row r="312" spans="2:34">
      <c r="B312" s="90" t="s">
        <v>393</v>
      </c>
      <c r="C312" s="172" t="s">
        <v>392</v>
      </c>
      <c r="D312" s="172" t="s">
        <v>392</v>
      </c>
      <c r="E312" s="91">
        <f>-ROUND($H$77*O77,2)</f>
        <v>0</v>
      </c>
      <c r="F312" s="91">
        <f t="shared" ref="F312:AH312" si="184">-ROUND($H$77*P77,2)</f>
        <v>0</v>
      </c>
      <c r="G312" s="91">
        <f t="shared" si="184"/>
        <v>0</v>
      </c>
      <c r="H312" s="91">
        <f t="shared" si="184"/>
        <v>0</v>
      </c>
      <c r="I312" s="91">
        <f t="shared" si="184"/>
        <v>0</v>
      </c>
      <c r="J312" s="91">
        <f t="shared" si="184"/>
        <v>0</v>
      </c>
      <c r="K312" s="91">
        <f t="shared" si="184"/>
        <v>0</v>
      </c>
      <c r="L312" s="91">
        <f t="shared" si="184"/>
        <v>0</v>
      </c>
      <c r="M312" s="91">
        <f t="shared" si="184"/>
        <v>0</v>
      </c>
      <c r="N312" s="91">
        <f t="shared" si="184"/>
        <v>0</v>
      </c>
      <c r="O312" s="91">
        <f t="shared" si="184"/>
        <v>0</v>
      </c>
      <c r="P312" s="91">
        <f t="shared" si="184"/>
        <v>0</v>
      </c>
      <c r="Q312" s="91">
        <f t="shared" si="184"/>
        <v>0</v>
      </c>
      <c r="R312" s="91">
        <f t="shared" si="184"/>
        <v>0</v>
      </c>
      <c r="S312" s="91">
        <f t="shared" si="184"/>
        <v>0</v>
      </c>
      <c r="T312" s="91">
        <f t="shared" si="184"/>
        <v>0</v>
      </c>
      <c r="U312" s="91">
        <f t="shared" si="184"/>
        <v>0</v>
      </c>
      <c r="V312" s="91">
        <f t="shared" si="184"/>
        <v>0</v>
      </c>
      <c r="W312" s="91">
        <f t="shared" si="184"/>
        <v>0</v>
      </c>
      <c r="X312" s="91">
        <f t="shared" si="184"/>
        <v>0</v>
      </c>
      <c r="Y312" s="91">
        <f t="shared" si="184"/>
        <v>0</v>
      </c>
      <c r="Z312" s="91">
        <f t="shared" si="184"/>
        <v>0</v>
      </c>
      <c r="AA312" s="91">
        <f t="shared" si="184"/>
        <v>0</v>
      </c>
      <c r="AB312" s="91">
        <f t="shared" si="184"/>
        <v>0</v>
      </c>
      <c r="AC312" s="91">
        <f t="shared" si="184"/>
        <v>0</v>
      </c>
      <c r="AD312" s="91">
        <f t="shared" si="184"/>
        <v>0</v>
      </c>
      <c r="AE312" s="91">
        <f t="shared" si="184"/>
        <v>0</v>
      </c>
      <c r="AF312" s="91">
        <f t="shared" si="184"/>
        <v>0</v>
      </c>
      <c r="AG312" s="91">
        <f t="shared" si="184"/>
        <v>0</v>
      </c>
      <c r="AH312" s="91">
        <f t="shared" si="184"/>
        <v>0</v>
      </c>
    </row>
    <row r="314" spans="2:34" ht="15.75">
      <c r="B314" s="62" t="s">
        <v>188</v>
      </c>
      <c r="C314" s="59"/>
      <c r="D314" s="59"/>
      <c r="E314" s="59"/>
      <c r="F314" s="59"/>
      <c r="G314" s="59"/>
      <c r="H314" s="59"/>
      <c r="I314" s="59"/>
      <c r="J314" s="59"/>
    </row>
    <row r="315" spans="2:34">
      <c r="B315" s="96" t="s">
        <v>19</v>
      </c>
      <c r="C315" s="97">
        <f>YEAR('Параметры займа'!L11)</f>
        <v>2026</v>
      </c>
      <c r="D315" s="97">
        <f>C315+1</f>
        <v>2027</v>
      </c>
      <c r="E315" s="97">
        <f t="shared" ref="E315:H315" si="185">D315+1</f>
        <v>2028</v>
      </c>
      <c r="F315" s="97">
        <f t="shared" si="185"/>
        <v>2029</v>
      </c>
      <c r="G315" s="97">
        <f t="shared" si="185"/>
        <v>2030</v>
      </c>
      <c r="H315" s="97">
        <f t="shared" si="185"/>
        <v>2031</v>
      </c>
      <c r="I315" s="97">
        <f>H315+1</f>
        <v>2032</v>
      </c>
      <c r="J315" s="97">
        <f>I315+1</f>
        <v>2033</v>
      </c>
      <c r="K315" s="97">
        <f>J315+1</f>
        <v>2034</v>
      </c>
    </row>
    <row r="316" spans="2:34">
      <c r="B316" s="95" t="s">
        <v>189</v>
      </c>
      <c r="C316" s="98"/>
      <c r="D316" s="98">
        <v>6</v>
      </c>
      <c r="E316" s="98"/>
      <c r="F316" s="98"/>
      <c r="G316" s="98"/>
      <c r="H316" s="98"/>
      <c r="I316" s="98"/>
      <c r="J316" s="98"/>
      <c r="K316" s="98"/>
    </row>
    <row r="318" spans="2:34" ht="21">
      <c r="B318" s="61" t="s">
        <v>199</v>
      </c>
    </row>
    <row r="319" spans="2:34" ht="23.25" customHeight="1">
      <c r="B319" s="62" t="s">
        <v>363</v>
      </c>
    </row>
    <row r="320" spans="2:34" ht="90" customHeight="1">
      <c r="B320" s="103" t="s">
        <v>210</v>
      </c>
      <c r="C320" s="103" t="s">
        <v>201</v>
      </c>
      <c r="D320" s="103" t="s">
        <v>202</v>
      </c>
      <c r="E320" s="103" t="s">
        <v>203</v>
      </c>
      <c r="F320" s="103" t="s">
        <v>396</v>
      </c>
      <c r="G320" s="103" t="s">
        <v>397</v>
      </c>
      <c r="H320" s="103" t="s">
        <v>398</v>
      </c>
      <c r="I320" s="103" t="s">
        <v>212</v>
      </c>
      <c r="J320" s="103" t="s">
        <v>315</v>
      </c>
      <c r="K320" s="103" t="s">
        <v>316</v>
      </c>
      <c r="L320" s="103" t="s">
        <v>317</v>
      </c>
      <c r="M320" s="103" t="s">
        <v>211</v>
      </c>
      <c r="N320" s="103" t="s">
        <v>400</v>
      </c>
      <c r="O320" s="103" t="s">
        <v>401</v>
      </c>
      <c r="P320" s="103" t="s">
        <v>402</v>
      </c>
      <c r="Q320" s="103" t="s">
        <v>399</v>
      </c>
    </row>
    <row r="321" spans="2:41" ht="31.5" customHeight="1">
      <c r="B321" s="78" t="str">
        <f>IF(C13=0," ",C13)</f>
        <v>ООО " "</v>
      </c>
      <c r="C321" s="78" t="s">
        <v>200</v>
      </c>
      <c r="D321" s="294">
        <f>C56</f>
        <v>17072.773000000001</v>
      </c>
      <c r="E321" s="295">
        <f>SUM(D334:AG334)</f>
        <v>0</v>
      </c>
      <c r="F321" s="296" t="s">
        <v>433</v>
      </c>
      <c r="G321" s="295" t="s">
        <v>392</v>
      </c>
      <c r="H321" s="295" t="s">
        <v>392</v>
      </c>
      <c r="I321" s="295" t="s">
        <v>392</v>
      </c>
      <c r="J321" s="295"/>
      <c r="K321" s="295" t="s">
        <v>392</v>
      </c>
      <c r="L321" s="295" t="s">
        <v>392</v>
      </c>
      <c r="M321" s="295" t="s">
        <v>392</v>
      </c>
      <c r="N321" s="296" t="s">
        <v>392</v>
      </c>
      <c r="O321" s="296" t="s">
        <v>392</v>
      </c>
      <c r="P321" s="295" t="s">
        <v>392</v>
      </c>
      <c r="Q321" s="295" t="s">
        <v>392</v>
      </c>
    </row>
    <row r="322" spans="2:41" ht="41.45" customHeight="1">
      <c r="B322" s="76" t="s">
        <v>205</v>
      </c>
      <c r="C322" s="78" t="s">
        <v>205</v>
      </c>
      <c r="D322" s="77"/>
      <c r="E322" s="77"/>
      <c r="F322" s="29">
        <v>50040</v>
      </c>
      <c r="G322" s="94"/>
      <c r="H322" s="94"/>
      <c r="I322" s="77"/>
      <c r="J322" s="306" t="str">
        <f>CONCATENATE(IF(ISERROR(VLOOKUP(MONTH(F322),справочник!$A$1:$B$12,2,FALSE))=TRUE,0,VLOOKUP(MONTH(F322),справочник!$A$1:$B$12,2,FALSE))," кв"," ",YEAR(F322))</f>
        <v>4 кв 2036</v>
      </c>
      <c r="K322" s="310" t="str">
        <f>CONCATENATE(IF(ISERROR(VLOOKUP(MONTH(N322),справочник!$A$1:$B$12,2,FALSE))=TRUE,0,VLOOKUP(MONTH(N322),справочник!$A$1:$B$12,2,FALSE))," кв"," ",YEAR(N322))</f>
        <v>1 кв 2037</v>
      </c>
      <c r="L322" s="310" t="str">
        <f>CONCATENATE(IF(ISERROR(VLOOKUP(MONTH(O322),справочник!$A$1:$B$12,2,FALSE))=TRUE,0,VLOOKUP(MONTH(O322),справочник!$A$1:$B$12,2,FALSE))," кв"," ",YEAR(O322))</f>
        <v>4 кв 2036</v>
      </c>
      <c r="M322" s="131">
        <v>0.1</v>
      </c>
      <c r="N322" s="310">
        <f>DATE(YEAR(F322),MONTH(F322)+IF(H322=0,3,H322),DAY(F322))</f>
        <v>50130</v>
      </c>
      <c r="O322" s="310">
        <f>DATE(YEAR(F322),MONTH(F322)+G322,DAY(F322)-1)</f>
        <v>50039</v>
      </c>
      <c r="P322" s="311">
        <f>IF(Предпосылки!I322=справочник!$A$49,(Предпосылки!G322-Предпосылки!H322)/3,1)</f>
        <v>1</v>
      </c>
      <c r="Q322" s="311">
        <f>ROUND(IF(P322=0,0,E322/P322),2)</f>
        <v>0</v>
      </c>
    </row>
    <row r="323" spans="2:41" ht="15.75" customHeight="1">
      <c r="B323" s="78" t="s">
        <v>532</v>
      </c>
      <c r="C323" s="78" t="s">
        <v>453</v>
      </c>
      <c r="D323" s="77"/>
      <c r="E323" s="77"/>
      <c r="F323" s="29">
        <v>46388</v>
      </c>
      <c r="G323" s="94"/>
      <c r="H323" s="94"/>
      <c r="I323" s="77" t="s">
        <v>305</v>
      </c>
      <c r="J323" s="306" t="str">
        <f>CONCATENATE(IF(ISERROR(VLOOKUP(MONTH(F323),справочник!$A$1:$B$12,2,FALSE))=TRUE,0,VLOOKUP(MONTH(F323),справочник!$A$1:$B$12,2,FALSE))," кв"," ",YEAR(F323))</f>
        <v>1 кв 2027</v>
      </c>
      <c r="K323" s="310" t="str">
        <f>CONCATENATE(IF(ISERROR(VLOOKUP(MONTH(N323),справочник!$A$1:$B$12,2,FALSE))=TRUE,0,VLOOKUP(MONTH(N323),справочник!$A$1:$B$12,2,FALSE))," кв"," ",YEAR(N323))</f>
        <v>2 кв 2027</v>
      </c>
      <c r="L323" s="310" t="str">
        <f>CONCATENATE(IF(ISERROR(VLOOKUP(MONTH(O323),справочник!$A$1:$B$12,2,FALSE))=TRUE,0,VLOOKUP(MONTH(O323),справочник!$A$1:$B$12,2,FALSE))," кв"," ",YEAR(O323))</f>
        <v>4 кв 2026</v>
      </c>
      <c r="M323" s="131">
        <f>18%+2%</f>
        <v>0.19999999999999998</v>
      </c>
      <c r="N323" s="310">
        <f t="shared" ref="N323:N325" si="186">DATE(YEAR(F323),MONTH(F323)+IF(H323=0,3,H323),DAY(F323))</f>
        <v>46478</v>
      </c>
      <c r="O323" s="310">
        <f>DATE(YEAR(F323),MONTH(F323)+G323,DAY(F323)-1)</f>
        <v>46387</v>
      </c>
      <c r="P323" s="311">
        <f>IF(Предпосылки!I323=справочник!$A$49,(Предпосылки!G323-Предпосылки!H323)/3,1)</f>
        <v>1</v>
      </c>
      <c r="Q323" s="311">
        <f t="shared" ref="Q323:Q325" si="187">ROUND(IF(P323=0,0,E323/P323),2)</f>
        <v>0</v>
      </c>
    </row>
    <row r="324" spans="2:41" ht="15.75" customHeight="1">
      <c r="B324" s="64" t="s">
        <v>213</v>
      </c>
      <c r="C324" s="64" t="s">
        <v>206</v>
      </c>
      <c r="D324" s="77"/>
      <c r="E324" s="77"/>
      <c r="F324" s="29">
        <v>50042</v>
      </c>
      <c r="G324" s="94"/>
      <c r="H324" s="94"/>
      <c r="I324" s="77"/>
      <c r="J324" s="306" t="str">
        <f>CONCATENATE(IF(ISERROR(VLOOKUP(MONTH(F324),справочник!$A$1:$B$12,2,FALSE))=TRUE,0,VLOOKUP(MONTH(F324),справочник!$A$1:$B$12,2,FALSE))," кв"," ",YEAR(F324))</f>
        <v>1 кв 2037</v>
      </c>
      <c r="K324" s="310" t="str">
        <f>CONCATENATE(IF(ISERROR(VLOOKUP(MONTH(N324),справочник!$A$1:$B$12,2,FALSE))=TRUE,0,VLOOKUP(MONTH(N324),справочник!$A$1:$B$12,2,FALSE))," кв"," ",YEAR(N324))</f>
        <v>2 кв 2037</v>
      </c>
      <c r="L324" s="310" t="str">
        <f>CONCATENATE(IF(ISERROR(VLOOKUP(MONTH(O324),справочник!$A$1:$B$12,2,FALSE))=TRUE,0,VLOOKUP(MONTH(O324),справочник!$A$1:$B$12,2,FALSE))," кв"," ",YEAR(O324))</f>
        <v>1 кв 2037</v>
      </c>
      <c r="M324" s="131">
        <v>0.113</v>
      </c>
      <c r="N324" s="310">
        <f t="shared" si="186"/>
        <v>50132</v>
      </c>
      <c r="O324" s="310">
        <f t="shared" ref="O324:O325" si="188">DATE(YEAR(F324),MONTH(F324)+G324,DAY(F324)-1)</f>
        <v>50041</v>
      </c>
      <c r="P324" s="311">
        <f>IF(Предпосылки!I324=справочник!$A$49,(Предпосылки!G324-Предпосылки!H324)/3,1)</f>
        <v>1</v>
      </c>
      <c r="Q324" s="311">
        <f t="shared" si="187"/>
        <v>0</v>
      </c>
    </row>
    <row r="325" spans="2:41" ht="15.75" customHeight="1">
      <c r="B325" s="64" t="s">
        <v>214</v>
      </c>
      <c r="C325" s="64" t="s">
        <v>206</v>
      </c>
      <c r="D325" s="77"/>
      <c r="E325" s="77"/>
      <c r="F325" s="29">
        <v>50043</v>
      </c>
      <c r="G325" s="94"/>
      <c r="H325" s="94"/>
      <c r="I325" s="77"/>
      <c r="J325" s="306" t="str">
        <f>CONCATENATE(IF(ISERROR(VLOOKUP(MONTH(F325),справочник!$A$1:$B$12,2,FALSE))=TRUE,0,VLOOKUP(MONTH(F325),справочник!$A$1:$B$12,2,FALSE))," кв"," ",YEAR(F325))</f>
        <v>1 кв 2037</v>
      </c>
      <c r="K325" s="310" t="str">
        <f>CONCATENATE(IF(ISERROR(VLOOKUP(MONTH(N325),справочник!$A$1:$B$12,2,FALSE))=TRUE,0,VLOOKUP(MONTH(N325),справочник!$A$1:$B$12,2,FALSE))," кв"," ",YEAR(N325))</f>
        <v>2 кв 2037</v>
      </c>
      <c r="L325" s="310" t="str">
        <f>CONCATENATE(IF(ISERROR(VLOOKUP(MONTH(O325),справочник!$A$1:$B$12,2,FALSE))=TRUE,0,VLOOKUP(MONTH(O325),справочник!$A$1:$B$12,2,FALSE))," кв"," ",YEAR(O325))</f>
        <v>1 кв 2037</v>
      </c>
      <c r="M325" s="131">
        <v>0.125</v>
      </c>
      <c r="N325" s="310">
        <f t="shared" si="186"/>
        <v>50133</v>
      </c>
      <c r="O325" s="310">
        <f t="shared" si="188"/>
        <v>50042</v>
      </c>
      <c r="P325" s="311">
        <f>IF(Предпосылки!I325=справочник!$A$49,(Предпосылки!G325-Предпосылки!H325)/3,1)</f>
        <v>1</v>
      </c>
      <c r="Q325" s="311">
        <f t="shared" si="187"/>
        <v>0</v>
      </c>
    </row>
    <row r="326" spans="2:41" ht="23.25" customHeight="1">
      <c r="B326" s="62"/>
    </row>
    <row r="327" spans="2:41" ht="23.25" customHeight="1">
      <c r="B327" s="62" t="s">
        <v>482</v>
      </c>
    </row>
    <row r="328" spans="2:41" ht="23.25" customHeight="1">
      <c r="B328" s="360" t="s">
        <v>210</v>
      </c>
      <c r="C328" s="354" t="s">
        <v>318</v>
      </c>
      <c r="D328" s="72">
        <f t="shared" ref="D328:M331" si="189">O52</f>
        <v>1</v>
      </c>
      <c r="E328" s="72">
        <f t="shared" si="189"/>
        <v>2</v>
      </c>
      <c r="F328" s="72">
        <f t="shared" si="189"/>
        <v>3</v>
      </c>
      <c r="G328" s="72">
        <f t="shared" si="189"/>
        <v>4</v>
      </c>
      <c r="H328" s="72">
        <f t="shared" si="189"/>
        <v>5</v>
      </c>
      <c r="I328" s="72">
        <f t="shared" si="189"/>
        <v>6</v>
      </c>
      <c r="J328" s="72">
        <f t="shared" si="189"/>
        <v>7</v>
      </c>
      <c r="K328" s="72">
        <f t="shared" si="189"/>
        <v>8</v>
      </c>
      <c r="L328" s="72">
        <f t="shared" si="189"/>
        <v>9</v>
      </c>
      <c r="M328" s="72">
        <f t="shared" si="189"/>
        <v>10</v>
      </c>
      <c r="N328" s="72">
        <f t="shared" ref="N328:W331" si="190">Y52</f>
        <v>11</v>
      </c>
      <c r="O328" s="72">
        <f t="shared" si="190"/>
        <v>12</v>
      </c>
      <c r="P328" s="72">
        <f t="shared" si="190"/>
        <v>13</v>
      </c>
      <c r="Q328" s="72">
        <f t="shared" si="190"/>
        <v>14</v>
      </c>
      <c r="R328" s="72">
        <f t="shared" si="190"/>
        <v>15</v>
      </c>
      <c r="S328" s="72">
        <f t="shared" si="190"/>
        <v>16</v>
      </c>
      <c r="T328" s="72">
        <f t="shared" si="190"/>
        <v>17</v>
      </c>
      <c r="U328" s="72">
        <f t="shared" si="190"/>
        <v>18</v>
      </c>
      <c r="V328" s="72">
        <f t="shared" si="190"/>
        <v>19</v>
      </c>
      <c r="W328" s="72">
        <f t="shared" si="190"/>
        <v>20</v>
      </c>
      <c r="X328" s="72">
        <f t="shared" ref="X328:AG331" si="191">AI52</f>
        <v>21</v>
      </c>
      <c r="Y328" s="72">
        <f t="shared" si="191"/>
        <v>22</v>
      </c>
      <c r="Z328" s="72">
        <f t="shared" si="191"/>
        <v>23</v>
      </c>
      <c r="AA328" s="72">
        <f t="shared" si="191"/>
        <v>24</v>
      </c>
      <c r="AB328" s="72">
        <f t="shared" si="191"/>
        <v>25</v>
      </c>
      <c r="AC328" s="72">
        <f t="shared" si="191"/>
        <v>26</v>
      </c>
      <c r="AD328" s="72">
        <f t="shared" si="191"/>
        <v>27</v>
      </c>
      <c r="AE328" s="72">
        <f t="shared" si="191"/>
        <v>28</v>
      </c>
      <c r="AF328" s="72">
        <f t="shared" si="191"/>
        <v>29</v>
      </c>
      <c r="AG328" s="72">
        <f t="shared" si="191"/>
        <v>30</v>
      </c>
      <c r="AH328" s="342" t="s">
        <v>279</v>
      </c>
    </row>
    <row r="329" spans="2:41" ht="23.25" customHeight="1">
      <c r="B329" s="361"/>
      <c r="C329" s="355"/>
      <c r="D329" s="73">
        <f t="shared" si="189"/>
        <v>46023</v>
      </c>
      <c r="E329" s="73">
        <f t="shared" si="189"/>
        <v>46113</v>
      </c>
      <c r="F329" s="73">
        <f t="shared" si="189"/>
        <v>46204</v>
      </c>
      <c r="G329" s="73">
        <f t="shared" si="189"/>
        <v>46296</v>
      </c>
      <c r="H329" s="73">
        <f t="shared" si="189"/>
        <v>46388</v>
      </c>
      <c r="I329" s="73">
        <f t="shared" si="189"/>
        <v>46478</v>
      </c>
      <c r="J329" s="73">
        <f t="shared" si="189"/>
        <v>46569</v>
      </c>
      <c r="K329" s="73">
        <f t="shared" si="189"/>
        <v>46661</v>
      </c>
      <c r="L329" s="73">
        <f t="shared" si="189"/>
        <v>46753</v>
      </c>
      <c r="M329" s="73">
        <f t="shared" si="189"/>
        <v>46844</v>
      </c>
      <c r="N329" s="73">
        <f t="shared" si="190"/>
        <v>46935</v>
      </c>
      <c r="O329" s="73">
        <f t="shared" si="190"/>
        <v>47027</v>
      </c>
      <c r="P329" s="73">
        <f t="shared" si="190"/>
        <v>47119</v>
      </c>
      <c r="Q329" s="73">
        <f t="shared" si="190"/>
        <v>47209</v>
      </c>
      <c r="R329" s="73">
        <f t="shared" si="190"/>
        <v>47300</v>
      </c>
      <c r="S329" s="73">
        <f t="shared" si="190"/>
        <v>47392</v>
      </c>
      <c r="T329" s="73">
        <f t="shared" si="190"/>
        <v>47484</v>
      </c>
      <c r="U329" s="73">
        <f t="shared" si="190"/>
        <v>47574</v>
      </c>
      <c r="V329" s="73">
        <f t="shared" si="190"/>
        <v>47665</v>
      </c>
      <c r="W329" s="73">
        <f t="shared" si="190"/>
        <v>47757</v>
      </c>
      <c r="X329" s="73">
        <f t="shared" si="191"/>
        <v>47849</v>
      </c>
      <c r="Y329" s="73">
        <f t="shared" si="191"/>
        <v>47939</v>
      </c>
      <c r="Z329" s="73">
        <f t="shared" si="191"/>
        <v>48030</v>
      </c>
      <c r="AA329" s="73">
        <f t="shared" si="191"/>
        <v>48122</v>
      </c>
      <c r="AB329" s="73">
        <f t="shared" si="191"/>
        <v>48214</v>
      </c>
      <c r="AC329" s="73">
        <f t="shared" si="191"/>
        <v>48305</v>
      </c>
      <c r="AD329" s="73">
        <f t="shared" si="191"/>
        <v>48396</v>
      </c>
      <c r="AE329" s="73">
        <f t="shared" si="191"/>
        <v>48488</v>
      </c>
      <c r="AF329" s="73">
        <f t="shared" si="191"/>
        <v>48580</v>
      </c>
      <c r="AG329" s="73">
        <f t="shared" si="191"/>
        <v>48670</v>
      </c>
      <c r="AH329" s="343"/>
    </row>
    <row r="330" spans="2:41" ht="23.25" customHeight="1">
      <c r="B330" s="361"/>
      <c r="C330" s="355"/>
      <c r="D330" s="73">
        <f t="shared" si="189"/>
        <v>46112</v>
      </c>
      <c r="E330" s="73">
        <f t="shared" si="189"/>
        <v>46203</v>
      </c>
      <c r="F330" s="73">
        <f t="shared" si="189"/>
        <v>46295</v>
      </c>
      <c r="G330" s="73">
        <f t="shared" si="189"/>
        <v>46387</v>
      </c>
      <c r="H330" s="73">
        <f t="shared" si="189"/>
        <v>46477</v>
      </c>
      <c r="I330" s="73">
        <f t="shared" si="189"/>
        <v>46568</v>
      </c>
      <c r="J330" s="73">
        <f t="shared" si="189"/>
        <v>46660</v>
      </c>
      <c r="K330" s="73">
        <f t="shared" si="189"/>
        <v>46752</v>
      </c>
      <c r="L330" s="73">
        <f t="shared" si="189"/>
        <v>46843</v>
      </c>
      <c r="M330" s="73">
        <f t="shared" si="189"/>
        <v>46934</v>
      </c>
      <c r="N330" s="73">
        <f t="shared" si="190"/>
        <v>47026</v>
      </c>
      <c r="O330" s="73">
        <f t="shared" si="190"/>
        <v>47118</v>
      </c>
      <c r="P330" s="73">
        <f t="shared" si="190"/>
        <v>47208</v>
      </c>
      <c r="Q330" s="73">
        <f t="shared" si="190"/>
        <v>47299</v>
      </c>
      <c r="R330" s="73">
        <f t="shared" si="190"/>
        <v>47391</v>
      </c>
      <c r="S330" s="73">
        <f t="shared" si="190"/>
        <v>47483</v>
      </c>
      <c r="T330" s="73">
        <f t="shared" si="190"/>
        <v>47573</v>
      </c>
      <c r="U330" s="73">
        <f t="shared" si="190"/>
        <v>47664</v>
      </c>
      <c r="V330" s="73">
        <f t="shared" si="190"/>
        <v>47756</v>
      </c>
      <c r="W330" s="73">
        <f t="shared" si="190"/>
        <v>47848</v>
      </c>
      <c r="X330" s="73">
        <f t="shared" si="191"/>
        <v>47938</v>
      </c>
      <c r="Y330" s="73">
        <f t="shared" si="191"/>
        <v>48029</v>
      </c>
      <c r="Z330" s="73">
        <f t="shared" si="191"/>
        <v>48121</v>
      </c>
      <c r="AA330" s="73">
        <f t="shared" si="191"/>
        <v>48213</v>
      </c>
      <c r="AB330" s="73">
        <f t="shared" si="191"/>
        <v>48304</v>
      </c>
      <c r="AC330" s="73">
        <f t="shared" si="191"/>
        <v>48395</v>
      </c>
      <c r="AD330" s="73">
        <f t="shared" si="191"/>
        <v>48487</v>
      </c>
      <c r="AE330" s="73">
        <f t="shared" si="191"/>
        <v>48579</v>
      </c>
      <c r="AF330" s="73">
        <f t="shared" si="191"/>
        <v>48669</v>
      </c>
      <c r="AG330" s="73">
        <f t="shared" si="191"/>
        <v>48760</v>
      </c>
      <c r="AH330" s="343"/>
      <c r="AJ330" s="286"/>
      <c r="AK330" s="286"/>
      <c r="AL330" s="286"/>
      <c r="AM330" s="286"/>
      <c r="AN330" s="286"/>
      <c r="AO330" s="286"/>
    </row>
    <row r="331" spans="2:41" ht="23.25" customHeight="1">
      <c r="B331" s="361"/>
      <c r="C331" s="355"/>
      <c r="D331" s="146" t="str">
        <f t="shared" si="189"/>
        <v>1 кв 2026</v>
      </c>
      <c r="E331" s="146" t="str">
        <f t="shared" si="189"/>
        <v>2 кв 2026</v>
      </c>
      <c r="F331" s="146" t="str">
        <f t="shared" si="189"/>
        <v>3 кв 2026</v>
      </c>
      <c r="G331" s="146" t="str">
        <f t="shared" si="189"/>
        <v>4 кв 2026</v>
      </c>
      <c r="H331" s="146" t="str">
        <f t="shared" si="189"/>
        <v>1 кв 2027</v>
      </c>
      <c r="I331" s="146" t="str">
        <f t="shared" si="189"/>
        <v>2 кв 2027</v>
      </c>
      <c r="J331" s="146" t="str">
        <f t="shared" si="189"/>
        <v>3 кв 2027</v>
      </c>
      <c r="K331" s="146" t="str">
        <f t="shared" si="189"/>
        <v>4 кв 2027</v>
      </c>
      <c r="L331" s="146" t="str">
        <f t="shared" si="189"/>
        <v>1 кв 2028</v>
      </c>
      <c r="M331" s="146" t="str">
        <f t="shared" si="189"/>
        <v>2 кв 2028</v>
      </c>
      <c r="N331" s="146" t="str">
        <f t="shared" si="190"/>
        <v>3 кв 2028</v>
      </c>
      <c r="O331" s="146" t="str">
        <f t="shared" si="190"/>
        <v>4 кв 2028</v>
      </c>
      <c r="P331" s="146" t="str">
        <f t="shared" si="190"/>
        <v>1 кв 2029</v>
      </c>
      <c r="Q331" s="146" t="str">
        <f t="shared" si="190"/>
        <v>2 кв 2029</v>
      </c>
      <c r="R331" s="146" t="str">
        <f t="shared" si="190"/>
        <v>3 кв 2029</v>
      </c>
      <c r="S331" s="146" t="str">
        <f t="shared" si="190"/>
        <v>4 кв 2029</v>
      </c>
      <c r="T331" s="146" t="str">
        <f t="shared" si="190"/>
        <v>1 кв 2030</v>
      </c>
      <c r="U331" s="146" t="str">
        <f t="shared" si="190"/>
        <v>2 кв 2030</v>
      </c>
      <c r="V331" s="146" t="str">
        <f t="shared" si="190"/>
        <v>3 кв 2030</v>
      </c>
      <c r="W331" s="146" t="str">
        <f t="shared" si="190"/>
        <v>4 кв 2030</v>
      </c>
      <c r="X331" s="146" t="str">
        <f t="shared" si="191"/>
        <v>1 кв 2031</v>
      </c>
      <c r="Y331" s="146" t="str">
        <f t="shared" si="191"/>
        <v>2 кв 2031</v>
      </c>
      <c r="Z331" s="146" t="str">
        <f t="shared" si="191"/>
        <v>3 кв 2031</v>
      </c>
      <c r="AA331" s="146" t="str">
        <f t="shared" si="191"/>
        <v>4 кв 2031</v>
      </c>
      <c r="AB331" s="146" t="str">
        <f t="shared" si="191"/>
        <v>1 кв 2032</v>
      </c>
      <c r="AC331" s="146" t="str">
        <f t="shared" si="191"/>
        <v>2 кв 2032</v>
      </c>
      <c r="AD331" s="146" t="str">
        <f t="shared" si="191"/>
        <v>3 кв 2032</v>
      </c>
      <c r="AE331" s="146" t="str">
        <f t="shared" si="191"/>
        <v>4 кв 2032</v>
      </c>
      <c r="AF331" s="146" t="str">
        <f t="shared" si="191"/>
        <v>1 кв 2033</v>
      </c>
      <c r="AG331" s="146" t="str">
        <f t="shared" si="191"/>
        <v>2 кв 2033</v>
      </c>
      <c r="AH331" s="344"/>
      <c r="AJ331" s="286"/>
      <c r="AK331" s="286"/>
      <c r="AL331" s="286"/>
      <c r="AM331" s="286"/>
      <c r="AN331" s="286"/>
      <c r="AO331" s="286"/>
    </row>
    <row r="332" spans="2:41" ht="23.25" customHeight="1" outlineLevel="1">
      <c r="B332" s="214"/>
      <c r="C332" s="213"/>
      <c r="D332" s="269">
        <f>YEAR(D330)</f>
        <v>2026</v>
      </c>
      <c r="E332" s="269">
        <f t="shared" ref="E332:AG332" si="192">YEAR(E330)</f>
        <v>2026</v>
      </c>
      <c r="F332" s="269">
        <f t="shared" si="192"/>
        <v>2026</v>
      </c>
      <c r="G332" s="269">
        <f t="shared" si="192"/>
        <v>2026</v>
      </c>
      <c r="H332" s="269">
        <f t="shared" si="192"/>
        <v>2027</v>
      </c>
      <c r="I332" s="269">
        <f t="shared" si="192"/>
        <v>2027</v>
      </c>
      <c r="J332" s="269">
        <f t="shared" si="192"/>
        <v>2027</v>
      </c>
      <c r="K332" s="269">
        <f t="shared" si="192"/>
        <v>2027</v>
      </c>
      <c r="L332" s="269">
        <f t="shared" si="192"/>
        <v>2028</v>
      </c>
      <c r="M332" s="269">
        <f t="shared" si="192"/>
        <v>2028</v>
      </c>
      <c r="N332" s="269">
        <f t="shared" si="192"/>
        <v>2028</v>
      </c>
      <c r="O332" s="269">
        <f t="shared" si="192"/>
        <v>2028</v>
      </c>
      <c r="P332" s="269">
        <f t="shared" si="192"/>
        <v>2029</v>
      </c>
      <c r="Q332" s="269">
        <f t="shared" si="192"/>
        <v>2029</v>
      </c>
      <c r="R332" s="269">
        <f t="shared" si="192"/>
        <v>2029</v>
      </c>
      <c r="S332" s="269">
        <f t="shared" si="192"/>
        <v>2029</v>
      </c>
      <c r="T332" s="269">
        <f t="shared" si="192"/>
        <v>2030</v>
      </c>
      <c r="U332" s="269">
        <f t="shared" si="192"/>
        <v>2030</v>
      </c>
      <c r="V332" s="269">
        <f t="shared" si="192"/>
        <v>2030</v>
      </c>
      <c r="W332" s="269">
        <f t="shared" si="192"/>
        <v>2030</v>
      </c>
      <c r="X332" s="269">
        <f t="shared" si="192"/>
        <v>2031</v>
      </c>
      <c r="Y332" s="269">
        <f t="shared" si="192"/>
        <v>2031</v>
      </c>
      <c r="Z332" s="269">
        <f t="shared" si="192"/>
        <v>2031</v>
      </c>
      <c r="AA332" s="269">
        <f t="shared" si="192"/>
        <v>2031</v>
      </c>
      <c r="AB332" s="269">
        <f t="shared" si="192"/>
        <v>2032</v>
      </c>
      <c r="AC332" s="269">
        <f t="shared" si="192"/>
        <v>2032</v>
      </c>
      <c r="AD332" s="269">
        <f t="shared" si="192"/>
        <v>2032</v>
      </c>
      <c r="AE332" s="269">
        <f t="shared" si="192"/>
        <v>2032</v>
      </c>
      <c r="AF332" s="269">
        <f t="shared" si="192"/>
        <v>2033</v>
      </c>
      <c r="AG332" s="269">
        <f t="shared" si="192"/>
        <v>2033</v>
      </c>
      <c r="AH332" s="219"/>
      <c r="AJ332" s="286"/>
      <c r="AK332" s="286"/>
      <c r="AL332" s="286"/>
      <c r="AM332" s="286"/>
      <c r="AN332" s="286"/>
      <c r="AO332" s="286"/>
    </row>
    <row r="333" spans="2:41" s="15" customFormat="1">
      <c r="B333" s="181" t="s">
        <v>379</v>
      </c>
      <c r="C333" s="182" t="s">
        <v>93</v>
      </c>
      <c r="D333" s="208">
        <f>SUM(D334:D339)</f>
        <v>5000</v>
      </c>
      <c r="E333" s="208">
        <f t="shared" ref="E333:AG333" si="193">SUM(E335:E339)</f>
        <v>0</v>
      </c>
      <c r="F333" s="208">
        <f t="shared" si="193"/>
        <v>0</v>
      </c>
      <c r="G333" s="208">
        <f t="shared" si="193"/>
        <v>0</v>
      </c>
      <c r="H333" s="208">
        <f t="shared" si="193"/>
        <v>0</v>
      </c>
      <c r="I333" s="208">
        <f t="shared" si="193"/>
        <v>0</v>
      </c>
      <c r="J333" s="208">
        <f t="shared" si="193"/>
        <v>0</v>
      </c>
      <c r="K333" s="208">
        <f t="shared" si="193"/>
        <v>0</v>
      </c>
      <c r="L333" s="208">
        <f t="shared" si="193"/>
        <v>0</v>
      </c>
      <c r="M333" s="208">
        <f t="shared" si="193"/>
        <v>0</v>
      </c>
      <c r="N333" s="208">
        <f t="shared" si="193"/>
        <v>0</v>
      </c>
      <c r="O333" s="208">
        <f t="shared" si="193"/>
        <v>0</v>
      </c>
      <c r="P333" s="208">
        <f t="shared" si="193"/>
        <v>0</v>
      </c>
      <c r="Q333" s="208">
        <f t="shared" si="193"/>
        <v>0</v>
      </c>
      <c r="R333" s="208">
        <f t="shared" si="193"/>
        <v>0</v>
      </c>
      <c r="S333" s="208">
        <f t="shared" si="193"/>
        <v>0</v>
      </c>
      <c r="T333" s="208">
        <f t="shared" si="193"/>
        <v>0</v>
      </c>
      <c r="U333" s="208">
        <f t="shared" si="193"/>
        <v>0</v>
      </c>
      <c r="V333" s="208">
        <f t="shared" si="193"/>
        <v>0</v>
      </c>
      <c r="W333" s="208">
        <f t="shared" si="193"/>
        <v>0</v>
      </c>
      <c r="X333" s="208">
        <f t="shared" si="193"/>
        <v>0</v>
      </c>
      <c r="Y333" s="208">
        <f t="shared" si="193"/>
        <v>0</v>
      </c>
      <c r="Z333" s="208">
        <f t="shared" si="193"/>
        <v>0</v>
      </c>
      <c r="AA333" s="208">
        <f t="shared" si="193"/>
        <v>0</v>
      </c>
      <c r="AB333" s="208">
        <f t="shared" si="193"/>
        <v>0</v>
      </c>
      <c r="AC333" s="208">
        <f t="shared" si="193"/>
        <v>0</v>
      </c>
      <c r="AD333" s="208">
        <f t="shared" si="193"/>
        <v>0</v>
      </c>
      <c r="AE333" s="208">
        <f t="shared" si="193"/>
        <v>0</v>
      </c>
      <c r="AF333" s="208">
        <f t="shared" si="193"/>
        <v>0</v>
      </c>
      <c r="AG333" s="208">
        <f t="shared" si="193"/>
        <v>0</v>
      </c>
      <c r="AH333" s="208">
        <f>SUM(D333:AG333)</f>
        <v>5000</v>
      </c>
      <c r="AJ333" s="287"/>
      <c r="AK333" s="287"/>
      <c r="AL333" s="287"/>
      <c r="AM333" s="287"/>
      <c r="AN333" s="287"/>
      <c r="AO333" s="287"/>
    </row>
    <row r="334" spans="2:41" s="15" customFormat="1">
      <c r="B334" s="197" t="str">
        <f>CONCATENATE(C321," ",B321)</f>
        <v>Собственные средства ООО " "</v>
      </c>
      <c r="C334" s="130" t="s">
        <v>93</v>
      </c>
      <c r="D334" s="313"/>
      <c r="E334" s="313"/>
      <c r="F334" s="313"/>
      <c r="G334" s="313"/>
      <c r="H334" s="313"/>
      <c r="I334" s="313"/>
      <c r="J334" s="313"/>
      <c r="K334" s="313"/>
      <c r="L334" s="313"/>
      <c r="M334" s="313"/>
      <c r="N334" s="313"/>
      <c r="O334" s="313"/>
      <c r="P334" s="313"/>
      <c r="Q334" s="313"/>
      <c r="R334" s="313"/>
      <c r="S334" s="313"/>
      <c r="T334" s="313"/>
      <c r="U334" s="313"/>
      <c r="V334" s="313"/>
      <c r="W334" s="313"/>
      <c r="X334" s="313"/>
      <c r="Y334" s="313"/>
      <c r="Z334" s="313"/>
      <c r="AA334" s="313"/>
      <c r="AB334" s="313"/>
      <c r="AC334" s="313"/>
      <c r="AD334" s="313"/>
      <c r="AE334" s="313"/>
      <c r="AF334" s="313"/>
      <c r="AG334" s="313"/>
      <c r="AH334" s="297">
        <f>SUM(D334:AG334)</f>
        <v>0</v>
      </c>
      <c r="AJ334" s="287"/>
      <c r="AK334" s="287"/>
      <c r="AL334" s="287"/>
      <c r="AM334" s="287"/>
      <c r="AN334" s="287"/>
      <c r="AO334" s="287"/>
    </row>
    <row r="335" spans="2:41">
      <c r="B335" s="76" t="str">
        <f>B322</f>
        <v>Заём бенефициара/аффилированных лиц</v>
      </c>
      <c r="C335" s="130" t="s">
        <v>93</v>
      </c>
      <c r="D335" s="209">
        <f t="shared" ref="D335:AG335" si="194">IF($J322=D$331,$E322,0)</f>
        <v>0</v>
      </c>
      <c r="E335" s="209">
        <f t="shared" si="194"/>
        <v>0</v>
      </c>
      <c r="F335" s="209">
        <f t="shared" si="194"/>
        <v>0</v>
      </c>
      <c r="G335" s="209">
        <f t="shared" si="194"/>
        <v>0</v>
      </c>
      <c r="H335" s="209">
        <f t="shared" si="194"/>
        <v>0</v>
      </c>
      <c r="I335" s="209">
        <f t="shared" si="194"/>
        <v>0</v>
      </c>
      <c r="J335" s="209">
        <f t="shared" si="194"/>
        <v>0</v>
      </c>
      <c r="K335" s="209">
        <f t="shared" si="194"/>
        <v>0</v>
      </c>
      <c r="L335" s="209">
        <f t="shared" si="194"/>
        <v>0</v>
      </c>
      <c r="M335" s="209">
        <f t="shared" si="194"/>
        <v>0</v>
      </c>
      <c r="N335" s="209">
        <f t="shared" si="194"/>
        <v>0</v>
      </c>
      <c r="O335" s="209">
        <f t="shared" si="194"/>
        <v>0</v>
      </c>
      <c r="P335" s="209">
        <f t="shared" si="194"/>
        <v>0</v>
      </c>
      <c r="Q335" s="209">
        <f t="shared" si="194"/>
        <v>0</v>
      </c>
      <c r="R335" s="209">
        <f t="shared" si="194"/>
        <v>0</v>
      </c>
      <c r="S335" s="209">
        <f t="shared" si="194"/>
        <v>0</v>
      </c>
      <c r="T335" s="209">
        <f t="shared" si="194"/>
        <v>0</v>
      </c>
      <c r="U335" s="209">
        <f t="shared" si="194"/>
        <v>0</v>
      </c>
      <c r="V335" s="209">
        <f t="shared" si="194"/>
        <v>0</v>
      </c>
      <c r="W335" s="209">
        <f t="shared" si="194"/>
        <v>0</v>
      </c>
      <c r="X335" s="209">
        <f t="shared" si="194"/>
        <v>0</v>
      </c>
      <c r="Y335" s="209">
        <f t="shared" si="194"/>
        <v>0</v>
      </c>
      <c r="Z335" s="209">
        <f t="shared" si="194"/>
        <v>0</v>
      </c>
      <c r="AA335" s="209">
        <f t="shared" si="194"/>
        <v>0</v>
      </c>
      <c r="AB335" s="209">
        <f t="shared" si="194"/>
        <v>0</v>
      </c>
      <c r="AC335" s="209">
        <f t="shared" si="194"/>
        <v>0</v>
      </c>
      <c r="AD335" s="209">
        <f t="shared" si="194"/>
        <v>0</v>
      </c>
      <c r="AE335" s="209">
        <f t="shared" si="194"/>
        <v>0</v>
      </c>
      <c r="AF335" s="209">
        <f t="shared" si="194"/>
        <v>0</v>
      </c>
      <c r="AG335" s="209">
        <f t="shared" si="194"/>
        <v>0</v>
      </c>
      <c r="AH335" s="209">
        <f t="shared" ref="AH335:AH351" si="195">SUM(D335:AG335)</f>
        <v>0</v>
      </c>
      <c r="AJ335" s="286"/>
      <c r="AK335" s="286"/>
      <c r="AL335" s="286"/>
      <c r="AM335" s="286"/>
      <c r="AN335" s="286"/>
      <c r="AO335" s="286"/>
    </row>
    <row r="336" spans="2:41">
      <c r="B336" s="76" t="str">
        <f>B323</f>
        <v>Кредит (оборотный)</v>
      </c>
      <c r="C336" s="130" t="s">
        <v>93</v>
      </c>
      <c r="D336" s="209">
        <f t="shared" ref="D336:AG336" si="196">IF($J323=D$331,$E323,0)</f>
        <v>0</v>
      </c>
      <c r="E336" s="209">
        <f t="shared" si="196"/>
        <v>0</v>
      </c>
      <c r="F336" s="209">
        <f t="shared" si="196"/>
        <v>0</v>
      </c>
      <c r="G336" s="209">
        <f t="shared" si="196"/>
        <v>0</v>
      </c>
      <c r="H336" s="209">
        <f t="shared" si="196"/>
        <v>0</v>
      </c>
      <c r="I336" s="209">
        <f t="shared" si="196"/>
        <v>0</v>
      </c>
      <c r="J336" s="209">
        <f t="shared" si="196"/>
        <v>0</v>
      </c>
      <c r="K336" s="209">
        <f t="shared" si="196"/>
        <v>0</v>
      </c>
      <c r="L336" s="209">
        <f t="shared" si="196"/>
        <v>0</v>
      </c>
      <c r="M336" s="209">
        <f t="shared" si="196"/>
        <v>0</v>
      </c>
      <c r="N336" s="209">
        <f t="shared" si="196"/>
        <v>0</v>
      </c>
      <c r="O336" s="209">
        <f t="shared" si="196"/>
        <v>0</v>
      </c>
      <c r="P336" s="209">
        <f t="shared" si="196"/>
        <v>0</v>
      </c>
      <c r="Q336" s="209">
        <f t="shared" si="196"/>
        <v>0</v>
      </c>
      <c r="R336" s="209">
        <f t="shared" si="196"/>
        <v>0</v>
      </c>
      <c r="S336" s="209">
        <f t="shared" si="196"/>
        <v>0</v>
      </c>
      <c r="T336" s="209">
        <f t="shared" si="196"/>
        <v>0</v>
      </c>
      <c r="U336" s="209">
        <f t="shared" si="196"/>
        <v>0</v>
      </c>
      <c r="V336" s="209">
        <f t="shared" si="196"/>
        <v>0</v>
      </c>
      <c r="W336" s="209">
        <f t="shared" si="196"/>
        <v>0</v>
      </c>
      <c r="X336" s="209">
        <f t="shared" si="196"/>
        <v>0</v>
      </c>
      <c r="Y336" s="209">
        <f t="shared" si="196"/>
        <v>0</v>
      </c>
      <c r="Z336" s="209">
        <f t="shared" si="196"/>
        <v>0</v>
      </c>
      <c r="AA336" s="209">
        <f t="shared" si="196"/>
        <v>0</v>
      </c>
      <c r="AB336" s="209">
        <f t="shared" si="196"/>
        <v>0</v>
      </c>
      <c r="AC336" s="209">
        <f t="shared" si="196"/>
        <v>0</v>
      </c>
      <c r="AD336" s="209">
        <f t="shared" si="196"/>
        <v>0</v>
      </c>
      <c r="AE336" s="209">
        <f t="shared" si="196"/>
        <v>0</v>
      </c>
      <c r="AF336" s="209">
        <f t="shared" si="196"/>
        <v>0</v>
      </c>
      <c r="AG336" s="209">
        <f t="shared" si="196"/>
        <v>0</v>
      </c>
      <c r="AH336" s="209">
        <f t="shared" si="195"/>
        <v>0</v>
      </c>
      <c r="AJ336" s="286"/>
      <c r="AK336" s="286"/>
      <c r="AL336" s="286"/>
      <c r="AM336" s="286"/>
      <c r="AN336" s="286"/>
      <c r="AO336" s="286"/>
    </row>
    <row r="337" spans="2:41">
      <c r="B337" s="76" t="str">
        <f>B324</f>
        <v>Кредит 2</v>
      </c>
      <c r="C337" s="130" t="s">
        <v>93</v>
      </c>
      <c r="D337" s="209">
        <f t="shared" ref="D337:AG337" si="197">IF($J324=D$331,$E324,0)</f>
        <v>0</v>
      </c>
      <c r="E337" s="209">
        <f t="shared" si="197"/>
        <v>0</v>
      </c>
      <c r="F337" s="209">
        <f t="shared" si="197"/>
        <v>0</v>
      </c>
      <c r="G337" s="209">
        <f t="shared" si="197"/>
        <v>0</v>
      </c>
      <c r="H337" s="209">
        <f t="shared" si="197"/>
        <v>0</v>
      </c>
      <c r="I337" s="209">
        <f t="shared" si="197"/>
        <v>0</v>
      </c>
      <c r="J337" s="209">
        <f t="shared" si="197"/>
        <v>0</v>
      </c>
      <c r="K337" s="209">
        <f t="shared" si="197"/>
        <v>0</v>
      </c>
      <c r="L337" s="209">
        <f t="shared" si="197"/>
        <v>0</v>
      </c>
      <c r="M337" s="209">
        <f t="shared" si="197"/>
        <v>0</v>
      </c>
      <c r="N337" s="209">
        <f t="shared" si="197"/>
        <v>0</v>
      </c>
      <c r="O337" s="209">
        <f t="shared" si="197"/>
        <v>0</v>
      </c>
      <c r="P337" s="209">
        <f t="shared" si="197"/>
        <v>0</v>
      </c>
      <c r="Q337" s="209">
        <f t="shared" si="197"/>
        <v>0</v>
      </c>
      <c r="R337" s="209">
        <f t="shared" si="197"/>
        <v>0</v>
      </c>
      <c r="S337" s="209">
        <f t="shared" si="197"/>
        <v>0</v>
      </c>
      <c r="T337" s="209">
        <f t="shared" si="197"/>
        <v>0</v>
      </c>
      <c r="U337" s="209">
        <f t="shared" si="197"/>
        <v>0</v>
      </c>
      <c r="V337" s="209">
        <f t="shared" si="197"/>
        <v>0</v>
      </c>
      <c r="W337" s="209">
        <f t="shared" si="197"/>
        <v>0</v>
      </c>
      <c r="X337" s="209">
        <f t="shared" si="197"/>
        <v>0</v>
      </c>
      <c r="Y337" s="209">
        <f t="shared" si="197"/>
        <v>0</v>
      </c>
      <c r="Z337" s="209">
        <f t="shared" si="197"/>
        <v>0</v>
      </c>
      <c r="AA337" s="209">
        <f t="shared" si="197"/>
        <v>0</v>
      </c>
      <c r="AB337" s="209">
        <f t="shared" si="197"/>
        <v>0</v>
      </c>
      <c r="AC337" s="209">
        <f t="shared" si="197"/>
        <v>0</v>
      </c>
      <c r="AD337" s="209">
        <f t="shared" si="197"/>
        <v>0</v>
      </c>
      <c r="AE337" s="209">
        <f t="shared" si="197"/>
        <v>0</v>
      </c>
      <c r="AF337" s="209">
        <f t="shared" si="197"/>
        <v>0</v>
      </c>
      <c r="AG337" s="209">
        <f t="shared" si="197"/>
        <v>0</v>
      </c>
      <c r="AH337" s="209">
        <f t="shared" si="195"/>
        <v>0</v>
      </c>
      <c r="AJ337" s="286"/>
      <c r="AK337" s="286"/>
      <c r="AL337" s="286"/>
      <c r="AM337" s="286"/>
      <c r="AN337" s="286"/>
      <c r="AO337" s="286"/>
    </row>
    <row r="338" spans="2:41">
      <c r="B338" s="76" t="str">
        <f>B325</f>
        <v>Кредит 3</v>
      </c>
      <c r="C338" s="130" t="s">
        <v>93</v>
      </c>
      <c r="D338" s="209">
        <f t="shared" ref="D338:AG338" si="198">IF($J325=D$331,$E325,0)</f>
        <v>0</v>
      </c>
      <c r="E338" s="209">
        <f t="shared" si="198"/>
        <v>0</v>
      </c>
      <c r="F338" s="209">
        <f t="shared" si="198"/>
        <v>0</v>
      </c>
      <c r="G338" s="209">
        <f t="shared" si="198"/>
        <v>0</v>
      </c>
      <c r="H338" s="209">
        <f t="shared" si="198"/>
        <v>0</v>
      </c>
      <c r="I338" s="209">
        <f t="shared" si="198"/>
        <v>0</v>
      </c>
      <c r="J338" s="209">
        <f t="shared" si="198"/>
        <v>0</v>
      </c>
      <c r="K338" s="209">
        <f t="shared" si="198"/>
        <v>0</v>
      </c>
      <c r="L338" s="209">
        <f t="shared" si="198"/>
        <v>0</v>
      </c>
      <c r="M338" s="209">
        <f t="shared" si="198"/>
        <v>0</v>
      </c>
      <c r="N338" s="209">
        <f t="shared" si="198"/>
        <v>0</v>
      </c>
      <c r="O338" s="209">
        <f t="shared" si="198"/>
        <v>0</v>
      </c>
      <c r="P338" s="209">
        <f t="shared" si="198"/>
        <v>0</v>
      </c>
      <c r="Q338" s="209">
        <f t="shared" si="198"/>
        <v>0</v>
      </c>
      <c r="R338" s="209">
        <f t="shared" si="198"/>
        <v>0</v>
      </c>
      <c r="S338" s="209">
        <f t="shared" si="198"/>
        <v>0</v>
      </c>
      <c r="T338" s="209">
        <f t="shared" si="198"/>
        <v>0</v>
      </c>
      <c r="U338" s="209">
        <f t="shared" si="198"/>
        <v>0</v>
      </c>
      <c r="V338" s="209">
        <f t="shared" si="198"/>
        <v>0</v>
      </c>
      <c r="W338" s="209">
        <f t="shared" si="198"/>
        <v>0</v>
      </c>
      <c r="X338" s="209">
        <f t="shared" si="198"/>
        <v>0</v>
      </c>
      <c r="Y338" s="209">
        <f t="shared" si="198"/>
        <v>0</v>
      </c>
      <c r="Z338" s="209">
        <f t="shared" si="198"/>
        <v>0</v>
      </c>
      <c r="AA338" s="209">
        <f t="shared" si="198"/>
        <v>0</v>
      </c>
      <c r="AB338" s="209">
        <f t="shared" si="198"/>
        <v>0</v>
      </c>
      <c r="AC338" s="209">
        <f t="shared" si="198"/>
        <v>0</v>
      </c>
      <c r="AD338" s="209">
        <f t="shared" si="198"/>
        <v>0</v>
      </c>
      <c r="AE338" s="209">
        <f t="shared" si="198"/>
        <v>0</v>
      </c>
      <c r="AF338" s="209">
        <f t="shared" si="198"/>
        <v>0</v>
      </c>
      <c r="AG338" s="209">
        <f t="shared" si="198"/>
        <v>0</v>
      </c>
      <c r="AH338" s="209">
        <f t="shared" si="195"/>
        <v>0</v>
      </c>
      <c r="AJ338" s="286"/>
      <c r="AK338" s="286"/>
      <c r="AL338" s="286"/>
      <c r="AM338" s="286"/>
      <c r="AN338" s="286"/>
      <c r="AO338" s="286"/>
    </row>
    <row r="339" spans="2:41">
      <c r="B339" s="76" t="s">
        <v>420</v>
      </c>
      <c r="C339" s="130" t="s">
        <v>93</v>
      </c>
      <c r="D339" s="209">
        <f>'Параметры займа'!F14</f>
        <v>5000</v>
      </c>
      <c r="E339" s="209"/>
      <c r="F339" s="209"/>
      <c r="G339" s="209"/>
      <c r="H339" s="209"/>
      <c r="I339" s="209"/>
      <c r="J339" s="209"/>
      <c r="K339" s="209"/>
      <c r="L339" s="209"/>
      <c r="M339" s="209"/>
      <c r="N339" s="209"/>
      <c r="O339" s="209"/>
      <c r="P339" s="209"/>
      <c r="Q339" s="209"/>
      <c r="R339" s="209"/>
      <c r="S339" s="209"/>
      <c r="T339" s="209"/>
      <c r="U339" s="209"/>
      <c r="V339" s="209"/>
      <c r="W339" s="209"/>
      <c r="X339" s="209"/>
      <c r="Y339" s="209"/>
      <c r="Z339" s="209"/>
      <c r="AA339" s="209"/>
      <c r="AB339" s="209"/>
      <c r="AC339" s="209"/>
      <c r="AD339" s="209"/>
      <c r="AE339" s="209"/>
      <c r="AF339" s="209"/>
      <c r="AG339" s="209"/>
      <c r="AH339" s="209">
        <f t="shared" si="195"/>
        <v>5000</v>
      </c>
      <c r="AJ339" s="286"/>
      <c r="AK339" s="286"/>
      <c r="AL339" s="286"/>
      <c r="AM339" s="286"/>
      <c r="AN339" s="286"/>
      <c r="AO339" s="286"/>
    </row>
    <row r="340" spans="2:41">
      <c r="B340" s="181" t="s">
        <v>394</v>
      </c>
      <c r="C340" s="182" t="s">
        <v>93</v>
      </c>
      <c r="D340" s="208">
        <f>SUM(D341:D345)</f>
        <v>0</v>
      </c>
      <c r="E340" s="208">
        <f t="shared" ref="E340:AG340" si="199">SUM(E341:E345)</f>
        <v>0</v>
      </c>
      <c r="F340" s="208">
        <f t="shared" si="199"/>
        <v>0</v>
      </c>
      <c r="G340" s="208">
        <f t="shared" si="199"/>
        <v>0</v>
      </c>
      <c r="H340" s="208">
        <f t="shared" si="199"/>
        <v>0</v>
      </c>
      <c r="I340" s="208">
        <f t="shared" si="199"/>
        <v>0</v>
      </c>
      <c r="J340" s="208">
        <f t="shared" si="199"/>
        <v>0</v>
      </c>
      <c r="K340" s="208">
        <f t="shared" si="199"/>
        <v>0</v>
      </c>
      <c r="L340" s="208">
        <f t="shared" si="199"/>
        <v>0</v>
      </c>
      <c r="M340" s="208">
        <f t="shared" si="199"/>
        <v>0</v>
      </c>
      <c r="N340" s="208">
        <f t="shared" si="199"/>
        <v>0</v>
      </c>
      <c r="O340" s="208">
        <f t="shared" si="199"/>
        <v>0</v>
      </c>
      <c r="P340" s="208">
        <f t="shared" si="199"/>
        <v>625</v>
      </c>
      <c r="Q340" s="208">
        <f t="shared" si="199"/>
        <v>625</v>
      </c>
      <c r="R340" s="208">
        <f t="shared" si="199"/>
        <v>625</v>
      </c>
      <c r="S340" s="208">
        <f t="shared" si="199"/>
        <v>0</v>
      </c>
      <c r="T340" s="208">
        <f t="shared" si="199"/>
        <v>1250</v>
      </c>
      <c r="U340" s="208">
        <f t="shared" si="199"/>
        <v>625</v>
      </c>
      <c r="V340" s="208">
        <f t="shared" si="199"/>
        <v>625</v>
      </c>
      <c r="W340" s="208">
        <f t="shared" si="199"/>
        <v>0</v>
      </c>
      <c r="X340" s="208">
        <f t="shared" si="199"/>
        <v>625</v>
      </c>
      <c r="Y340" s="208">
        <f t="shared" si="199"/>
        <v>0</v>
      </c>
      <c r="Z340" s="208">
        <f t="shared" si="199"/>
        <v>0</v>
      </c>
      <c r="AA340" s="208">
        <f t="shared" si="199"/>
        <v>0</v>
      </c>
      <c r="AB340" s="208">
        <f t="shared" si="199"/>
        <v>0</v>
      </c>
      <c r="AC340" s="208">
        <f t="shared" si="199"/>
        <v>0</v>
      </c>
      <c r="AD340" s="208">
        <f t="shared" si="199"/>
        <v>0</v>
      </c>
      <c r="AE340" s="208">
        <f t="shared" si="199"/>
        <v>0</v>
      </c>
      <c r="AF340" s="208">
        <f t="shared" si="199"/>
        <v>0</v>
      </c>
      <c r="AG340" s="208">
        <f t="shared" si="199"/>
        <v>0</v>
      </c>
      <c r="AH340" s="208">
        <f t="shared" si="195"/>
        <v>5000</v>
      </c>
      <c r="AJ340" s="286"/>
      <c r="AK340" s="286"/>
      <c r="AL340" s="286"/>
      <c r="AM340" s="286"/>
      <c r="AN340" s="286"/>
      <c r="AO340" s="286"/>
    </row>
    <row r="341" spans="2:41">
      <c r="B341" s="76" t="str">
        <f>B335</f>
        <v>Заём бенефициара/аффилированных лиц</v>
      </c>
      <c r="C341" s="130" t="s">
        <v>93</v>
      </c>
      <c r="D341" s="210">
        <f>IF($N$322&lt;=D330,$Q$322,0)*IF($O$322&lt;D329,0,1)</f>
        <v>0</v>
      </c>
      <c r="E341" s="210">
        <f t="shared" ref="E341:T341" si="200">IF($N$322&lt;=E330,$Q$322,0)*IF($O$322&lt;E329,0,1)</f>
        <v>0</v>
      </c>
      <c r="F341" s="210">
        <f t="shared" si="200"/>
        <v>0</v>
      </c>
      <c r="G341" s="210">
        <f t="shared" si="200"/>
        <v>0</v>
      </c>
      <c r="H341" s="210">
        <f t="shared" si="200"/>
        <v>0</v>
      </c>
      <c r="I341" s="210">
        <f t="shared" si="200"/>
        <v>0</v>
      </c>
      <c r="J341" s="210">
        <f t="shared" si="200"/>
        <v>0</v>
      </c>
      <c r="K341" s="210">
        <f t="shared" si="200"/>
        <v>0</v>
      </c>
      <c r="L341" s="210">
        <f t="shared" si="200"/>
        <v>0</v>
      </c>
      <c r="M341" s="210">
        <f t="shared" si="200"/>
        <v>0</v>
      </c>
      <c r="N341" s="210">
        <f t="shared" si="200"/>
        <v>0</v>
      </c>
      <c r="O341" s="210">
        <f t="shared" si="200"/>
        <v>0</v>
      </c>
      <c r="P341" s="210">
        <f t="shared" si="200"/>
        <v>0</v>
      </c>
      <c r="Q341" s="210">
        <f t="shared" si="200"/>
        <v>0</v>
      </c>
      <c r="R341" s="210">
        <f t="shared" si="200"/>
        <v>0</v>
      </c>
      <c r="S341" s="210">
        <f t="shared" si="200"/>
        <v>0</v>
      </c>
      <c r="T341" s="210">
        <f t="shared" si="200"/>
        <v>0</v>
      </c>
      <c r="U341" s="210">
        <f>IF($N$322&lt;=U330,$Q$322,0)*IF($O$322&lt;U329,0,1)</f>
        <v>0</v>
      </c>
      <c r="V341" s="210">
        <f t="shared" ref="V341:AG341" si="201">IF($N$322&lt;=V330,$Q$322,0)*IF($O$322&lt;V329,0,1)</f>
        <v>0</v>
      </c>
      <c r="W341" s="210">
        <f t="shared" si="201"/>
        <v>0</v>
      </c>
      <c r="X341" s="210">
        <f t="shared" si="201"/>
        <v>0</v>
      </c>
      <c r="Y341" s="210">
        <f t="shared" si="201"/>
        <v>0</v>
      </c>
      <c r="Z341" s="210">
        <f t="shared" si="201"/>
        <v>0</v>
      </c>
      <c r="AA341" s="210">
        <f t="shared" si="201"/>
        <v>0</v>
      </c>
      <c r="AB341" s="210">
        <f t="shared" si="201"/>
        <v>0</v>
      </c>
      <c r="AC341" s="210">
        <f t="shared" si="201"/>
        <v>0</v>
      </c>
      <c r="AD341" s="210">
        <f t="shared" si="201"/>
        <v>0</v>
      </c>
      <c r="AE341" s="210">
        <f t="shared" si="201"/>
        <v>0</v>
      </c>
      <c r="AF341" s="210">
        <f t="shared" si="201"/>
        <v>0</v>
      </c>
      <c r="AG341" s="210">
        <f t="shared" si="201"/>
        <v>0</v>
      </c>
      <c r="AH341" s="210">
        <f t="shared" si="195"/>
        <v>0</v>
      </c>
      <c r="AJ341" s="286"/>
      <c r="AK341" s="286"/>
      <c r="AL341" s="286"/>
      <c r="AM341" s="286"/>
      <c r="AN341" s="286"/>
      <c r="AO341" s="286"/>
    </row>
    <row r="342" spans="2:41">
      <c r="B342" s="76" t="str">
        <f>B336</f>
        <v>Кредит (оборотный)</v>
      </c>
      <c r="C342" s="130" t="s">
        <v>93</v>
      </c>
      <c r="D342" s="210">
        <f>IF($N$323&lt;=D330,$Q$323,0)*IF($O$323&lt;D329,0,1)</f>
        <v>0</v>
      </c>
      <c r="E342" s="210">
        <f t="shared" ref="E342:AG342" si="202">IF($N$323&lt;=E330,$Q$323,0)*IF($O$323&lt;E329,0,1)</f>
        <v>0</v>
      </c>
      <c r="F342" s="210">
        <f t="shared" si="202"/>
        <v>0</v>
      </c>
      <c r="G342" s="210">
        <f t="shared" si="202"/>
        <v>0</v>
      </c>
      <c r="H342" s="210">
        <f t="shared" si="202"/>
        <v>0</v>
      </c>
      <c r="I342" s="210">
        <f t="shared" si="202"/>
        <v>0</v>
      </c>
      <c r="J342" s="210">
        <f t="shared" si="202"/>
        <v>0</v>
      </c>
      <c r="K342" s="210">
        <f t="shared" si="202"/>
        <v>0</v>
      </c>
      <c r="L342" s="210">
        <f t="shared" si="202"/>
        <v>0</v>
      </c>
      <c r="M342" s="210">
        <f t="shared" si="202"/>
        <v>0</v>
      </c>
      <c r="N342" s="210">
        <f t="shared" si="202"/>
        <v>0</v>
      </c>
      <c r="O342" s="210">
        <f t="shared" si="202"/>
        <v>0</v>
      </c>
      <c r="P342" s="210">
        <f t="shared" si="202"/>
        <v>0</v>
      </c>
      <c r="Q342" s="210">
        <f t="shared" si="202"/>
        <v>0</v>
      </c>
      <c r="R342" s="210">
        <f t="shared" si="202"/>
        <v>0</v>
      </c>
      <c r="S342" s="210">
        <f t="shared" si="202"/>
        <v>0</v>
      </c>
      <c r="T342" s="210">
        <f t="shared" si="202"/>
        <v>0</v>
      </c>
      <c r="U342" s="210">
        <f t="shared" si="202"/>
        <v>0</v>
      </c>
      <c r="V342" s="210">
        <f t="shared" si="202"/>
        <v>0</v>
      </c>
      <c r="W342" s="210">
        <f t="shared" si="202"/>
        <v>0</v>
      </c>
      <c r="X342" s="210">
        <f t="shared" si="202"/>
        <v>0</v>
      </c>
      <c r="Y342" s="210">
        <f t="shared" si="202"/>
        <v>0</v>
      </c>
      <c r="Z342" s="210">
        <f t="shared" si="202"/>
        <v>0</v>
      </c>
      <c r="AA342" s="210">
        <f t="shared" si="202"/>
        <v>0</v>
      </c>
      <c r="AB342" s="210">
        <f t="shared" si="202"/>
        <v>0</v>
      </c>
      <c r="AC342" s="210">
        <f t="shared" si="202"/>
        <v>0</v>
      </c>
      <c r="AD342" s="210">
        <f t="shared" si="202"/>
        <v>0</v>
      </c>
      <c r="AE342" s="210">
        <f t="shared" si="202"/>
        <v>0</v>
      </c>
      <c r="AF342" s="210">
        <f t="shared" si="202"/>
        <v>0</v>
      </c>
      <c r="AG342" s="210">
        <f t="shared" si="202"/>
        <v>0</v>
      </c>
      <c r="AH342" s="210">
        <f t="shared" si="195"/>
        <v>0</v>
      </c>
      <c r="AJ342" s="286"/>
      <c r="AK342" s="286"/>
      <c r="AL342" s="286"/>
      <c r="AM342" s="286"/>
      <c r="AN342" s="286"/>
      <c r="AO342" s="286"/>
    </row>
    <row r="343" spans="2:41">
      <c r="B343" s="76" t="str">
        <f>B337</f>
        <v>Кредит 2</v>
      </c>
      <c r="C343" s="130" t="s">
        <v>93</v>
      </c>
      <c r="D343" s="210">
        <f>IF($N$324&lt;=D330,$Q$324,0)*IF($O$324&lt;D329,0,1)</f>
        <v>0</v>
      </c>
      <c r="E343" s="210">
        <f t="shared" ref="E343:AG343" si="203">IF($N$324&lt;=E330,$Q$324,0)*IF($O$324&lt;E329,0,1)</f>
        <v>0</v>
      </c>
      <c r="F343" s="210">
        <f t="shared" si="203"/>
        <v>0</v>
      </c>
      <c r="G343" s="210">
        <f t="shared" si="203"/>
        <v>0</v>
      </c>
      <c r="H343" s="210">
        <f t="shared" si="203"/>
        <v>0</v>
      </c>
      <c r="I343" s="210">
        <f t="shared" si="203"/>
        <v>0</v>
      </c>
      <c r="J343" s="210">
        <f t="shared" si="203"/>
        <v>0</v>
      </c>
      <c r="K343" s="210">
        <f t="shared" si="203"/>
        <v>0</v>
      </c>
      <c r="L343" s="210">
        <f t="shared" si="203"/>
        <v>0</v>
      </c>
      <c r="M343" s="210">
        <f t="shared" si="203"/>
        <v>0</v>
      </c>
      <c r="N343" s="210">
        <f t="shared" si="203"/>
        <v>0</v>
      </c>
      <c r="O343" s="210">
        <f t="shared" si="203"/>
        <v>0</v>
      </c>
      <c r="P343" s="210">
        <f t="shared" si="203"/>
        <v>0</v>
      </c>
      <c r="Q343" s="210">
        <f t="shared" si="203"/>
        <v>0</v>
      </c>
      <c r="R343" s="210">
        <f t="shared" si="203"/>
        <v>0</v>
      </c>
      <c r="S343" s="210">
        <f t="shared" si="203"/>
        <v>0</v>
      </c>
      <c r="T343" s="210">
        <f t="shared" si="203"/>
        <v>0</v>
      </c>
      <c r="U343" s="210">
        <f t="shared" si="203"/>
        <v>0</v>
      </c>
      <c r="V343" s="210">
        <f t="shared" si="203"/>
        <v>0</v>
      </c>
      <c r="W343" s="210">
        <f t="shared" si="203"/>
        <v>0</v>
      </c>
      <c r="X343" s="210">
        <f t="shared" si="203"/>
        <v>0</v>
      </c>
      <c r="Y343" s="210">
        <f t="shared" si="203"/>
        <v>0</v>
      </c>
      <c r="Z343" s="210">
        <f t="shared" si="203"/>
        <v>0</v>
      </c>
      <c r="AA343" s="210">
        <f t="shared" si="203"/>
        <v>0</v>
      </c>
      <c r="AB343" s="210">
        <f t="shared" si="203"/>
        <v>0</v>
      </c>
      <c r="AC343" s="210">
        <f t="shared" si="203"/>
        <v>0</v>
      </c>
      <c r="AD343" s="210">
        <f t="shared" si="203"/>
        <v>0</v>
      </c>
      <c r="AE343" s="210">
        <f t="shared" si="203"/>
        <v>0</v>
      </c>
      <c r="AF343" s="210">
        <f t="shared" si="203"/>
        <v>0</v>
      </c>
      <c r="AG343" s="210">
        <f t="shared" si="203"/>
        <v>0</v>
      </c>
      <c r="AH343" s="210">
        <f t="shared" si="195"/>
        <v>0</v>
      </c>
      <c r="AJ343" s="286"/>
      <c r="AK343" s="286"/>
      <c r="AL343" s="286"/>
      <c r="AM343" s="286"/>
      <c r="AN343" s="286"/>
      <c r="AO343" s="286"/>
    </row>
    <row r="344" spans="2:41">
      <c r="B344" s="76" t="str">
        <f>B338</f>
        <v>Кредит 3</v>
      </c>
      <c r="C344" s="130" t="s">
        <v>93</v>
      </c>
      <c r="D344" s="210">
        <f>IF($N$325&lt;=D330,$Q$325,0)*IF($O$325&lt;D329,0,1)</f>
        <v>0</v>
      </c>
      <c r="E344" s="210">
        <f t="shared" ref="E344:AG344" si="204">IF($N$325&lt;=E330,$Q$325,0)*IF($O$325&lt;E329,0,1)</f>
        <v>0</v>
      </c>
      <c r="F344" s="210">
        <f t="shared" si="204"/>
        <v>0</v>
      </c>
      <c r="G344" s="210">
        <f t="shared" si="204"/>
        <v>0</v>
      </c>
      <c r="H344" s="210">
        <f t="shared" si="204"/>
        <v>0</v>
      </c>
      <c r="I344" s="210">
        <f t="shared" si="204"/>
        <v>0</v>
      </c>
      <c r="J344" s="210">
        <f t="shared" si="204"/>
        <v>0</v>
      </c>
      <c r="K344" s="210">
        <f t="shared" si="204"/>
        <v>0</v>
      </c>
      <c r="L344" s="210">
        <f t="shared" si="204"/>
        <v>0</v>
      </c>
      <c r="M344" s="210">
        <f t="shared" si="204"/>
        <v>0</v>
      </c>
      <c r="N344" s="210">
        <f t="shared" si="204"/>
        <v>0</v>
      </c>
      <c r="O344" s="210">
        <f t="shared" si="204"/>
        <v>0</v>
      </c>
      <c r="P344" s="210">
        <f t="shared" si="204"/>
        <v>0</v>
      </c>
      <c r="Q344" s="210">
        <f t="shared" si="204"/>
        <v>0</v>
      </c>
      <c r="R344" s="210">
        <f t="shared" si="204"/>
        <v>0</v>
      </c>
      <c r="S344" s="210">
        <f t="shared" si="204"/>
        <v>0</v>
      </c>
      <c r="T344" s="210">
        <f t="shared" si="204"/>
        <v>0</v>
      </c>
      <c r="U344" s="210">
        <f t="shared" si="204"/>
        <v>0</v>
      </c>
      <c r="V344" s="210">
        <f t="shared" si="204"/>
        <v>0</v>
      </c>
      <c r="W344" s="210">
        <f t="shared" si="204"/>
        <v>0</v>
      </c>
      <c r="X344" s="210">
        <f>IF($N$325&lt;=X330,$Q$325,0)*IF($O$325&lt;X329,0,1)</f>
        <v>0</v>
      </c>
      <c r="Y344" s="210">
        <f t="shared" si="204"/>
        <v>0</v>
      </c>
      <c r="Z344" s="210">
        <f t="shared" si="204"/>
        <v>0</v>
      </c>
      <c r="AA344" s="210">
        <f t="shared" si="204"/>
        <v>0</v>
      </c>
      <c r="AB344" s="210">
        <f t="shared" si="204"/>
        <v>0</v>
      </c>
      <c r="AC344" s="210">
        <f t="shared" si="204"/>
        <v>0</v>
      </c>
      <c r="AD344" s="210">
        <f t="shared" si="204"/>
        <v>0</v>
      </c>
      <c r="AE344" s="210">
        <f t="shared" si="204"/>
        <v>0</v>
      </c>
      <c r="AF344" s="210">
        <f t="shared" si="204"/>
        <v>0</v>
      </c>
      <c r="AG344" s="210">
        <f t="shared" si="204"/>
        <v>0</v>
      </c>
      <c r="AH344" s="210">
        <f t="shared" si="195"/>
        <v>0</v>
      </c>
      <c r="AJ344" s="286"/>
      <c r="AK344" s="286"/>
      <c r="AL344" s="286"/>
      <c r="AM344" s="286"/>
      <c r="AN344" s="286"/>
      <c r="AO344" s="286"/>
    </row>
    <row r="345" spans="2:41">
      <c r="B345" s="76" t="str">
        <f>B339</f>
        <v>Займ РФРП КО</v>
      </c>
      <c r="C345" s="130" t="s">
        <v>93</v>
      </c>
      <c r="D345" s="209">
        <f>SUMIF('Параметры займа'!$E$26:$E$54,D331,'Параметры займа'!$F$26:$F$54)</f>
        <v>0</v>
      </c>
      <c r="E345" s="209">
        <f>SUMIF('Параметры займа'!$E$26:$E$54,E331,'Параметры займа'!$F$26:$F$54)</f>
        <v>0</v>
      </c>
      <c r="F345" s="209">
        <f>SUMIF('Параметры займа'!$E$26:$E$54,F331,'Параметры займа'!$F$26:$F$54)</f>
        <v>0</v>
      </c>
      <c r="G345" s="209">
        <f>SUMIF('Параметры займа'!$E$26:$E$54,G331,'Параметры займа'!$F$26:$F$54)</f>
        <v>0</v>
      </c>
      <c r="H345" s="209">
        <f>SUMIF('Параметры займа'!$E$26:$E$54,H331,'Параметры займа'!$F$26:$F$54)</f>
        <v>0</v>
      </c>
      <c r="I345" s="209">
        <f>SUMIF('Параметры займа'!$E$26:$E$54,I331,'Параметры займа'!$F$26:$F$54)</f>
        <v>0</v>
      </c>
      <c r="J345" s="209">
        <f>SUMIF('Параметры займа'!$E$26:$E$54,J331,'Параметры займа'!$F$26:$F$54)</f>
        <v>0</v>
      </c>
      <c r="K345" s="209">
        <f>SUMIF('Параметры займа'!$E$26:$E$54,K331,'Параметры займа'!$F$26:$F$54)</f>
        <v>0</v>
      </c>
      <c r="L345" s="209">
        <f>SUMIF('Параметры займа'!$E$26:$E$54,L331,'Параметры займа'!$F$26:$F$54)</f>
        <v>0</v>
      </c>
      <c r="M345" s="209">
        <f>SUMIF('Параметры займа'!$E$26:$E$54,M331,'Параметры займа'!$F$26:$F$54)</f>
        <v>0</v>
      </c>
      <c r="N345" s="209">
        <f>SUMIF('Параметры займа'!$E$26:$E$54,N331,'Параметры займа'!$F$26:$F$54)</f>
        <v>0</v>
      </c>
      <c r="O345" s="209">
        <f>SUMIF('Параметры займа'!$E$26:$E$54,O331,'Параметры займа'!$F$26:$F$54)</f>
        <v>0</v>
      </c>
      <c r="P345" s="209">
        <f>SUMIF('Параметры займа'!$E$26:$E$54,P331,'Параметры займа'!$F$26:$F$54)</f>
        <v>625</v>
      </c>
      <c r="Q345" s="209">
        <f>SUMIF('Параметры займа'!$E$26:$E$54,Q331,'Параметры займа'!$F$26:$F$54)</f>
        <v>625</v>
      </c>
      <c r="R345" s="209">
        <f>SUMIF('Параметры займа'!$E$26:$E$54,R331,'Параметры займа'!$F$26:$F$54)</f>
        <v>625</v>
      </c>
      <c r="S345" s="209">
        <f>SUMIF('Параметры займа'!$E$26:$E$54,S331,'Параметры займа'!$F$26:$F$54)</f>
        <v>0</v>
      </c>
      <c r="T345" s="209">
        <f>SUMIF('Параметры займа'!$E$26:$E$54,T331,'Параметры займа'!$F$26:$F$54)</f>
        <v>1250</v>
      </c>
      <c r="U345" s="209">
        <f>SUMIF('Параметры займа'!$E$26:$E$54,U331,'Параметры займа'!$F$26:$F$54)</f>
        <v>625</v>
      </c>
      <c r="V345" s="209">
        <f>SUMIF('Параметры займа'!$E$26:$E$54,V331,'Параметры займа'!$F$26:$F$54)</f>
        <v>625</v>
      </c>
      <c r="W345" s="209">
        <f>SUMIF('Параметры займа'!$E$26:$E$54,W331,'Параметры займа'!$F$26:$F$54)</f>
        <v>0</v>
      </c>
      <c r="X345" s="209">
        <f>SUMIF('Параметры займа'!$E$26:$E$54,X331,'Параметры займа'!$F$26:$F$54)</f>
        <v>625</v>
      </c>
      <c r="Y345" s="209">
        <f>SUMIF('Параметры займа'!$E$26:$E$54,Y331,'Параметры займа'!$F$26:$F$54)</f>
        <v>0</v>
      </c>
      <c r="Z345" s="209">
        <f>SUMIF('Параметры займа'!$E$26:$E$54,Z331,'Параметры займа'!$F$26:$F$54)</f>
        <v>0</v>
      </c>
      <c r="AA345" s="209">
        <f>SUMIF('Параметры займа'!$E$26:$E$54,AA331,'Параметры займа'!$F$26:$F$54)</f>
        <v>0</v>
      </c>
      <c r="AB345" s="209">
        <f>SUMIF('Параметры займа'!$E$26:$E$54,AB331,'Параметры займа'!$F$26:$F$54)</f>
        <v>0</v>
      </c>
      <c r="AC345" s="209">
        <f>SUMIF('Параметры займа'!$E$26:$E$54,AC331,'Параметры займа'!$F$26:$F$54)</f>
        <v>0</v>
      </c>
      <c r="AD345" s="209">
        <f>SUMIF('Параметры займа'!$E$26:$E$54,AD331,'Параметры займа'!$F$26:$F$54)</f>
        <v>0</v>
      </c>
      <c r="AE345" s="209">
        <f>SUMIF('Параметры займа'!$E$26:$E$54,AE331,'Параметры займа'!$F$26:$F$54)</f>
        <v>0</v>
      </c>
      <c r="AF345" s="209">
        <f>SUMIF('Параметры займа'!$E$26:$E$54,AF331,'Параметры займа'!$F$26:$F$54)</f>
        <v>0</v>
      </c>
      <c r="AG345" s="209">
        <f>SUMIF('Параметры займа'!$E$26:$E$54,AG331,'Параметры займа'!$F$26:$F$54)</f>
        <v>0</v>
      </c>
      <c r="AH345" s="209">
        <f t="shared" si="195"/>
        <v>5000</v>
      </c>
      <c r="AJ345" s="286"/>
      <c r="AK345" s="286"/>
      <c r="AL345" s="286"/>
      <c r="AM345" s="286"/>
      <c r="AN345" s="286"/>
      <c r="AO345" s="286"/>
    </row>
    <row r="346" spans="2:41">
      <c r="B346" s="181" t="s">
        <v>395</v>
      </c>
      <c r="C346" s="182" t="s">
        <v>93</v>
      </c>
      <c r="D346" s="208">
        <f>SUM(D347:D351)</f>
        <v>9.589041095890412</v>
      </c>
      <c r="E346" s="208">
        <f t="shared" ref="E346:AG346" si="205">SUM(E347:E351)</f>
        <v>62.328767123287669</v>
      </c>
      <c r="F346" s="208">
        <f t="shared" si="205"/>
        <v>63.013698630136986</v>
      </c>
      <c r="G346" s="208">
        <f t="shared" si="205"/>
        <v>73.287671232876718</v>
      </c>
      <c r="H346" s="208">
        <f t="shared" si="205"/>
        <v>51.369863013698627</v>
      </c>
      <c r="I346" s="208">
        <f t="shared" si="205"/>
        <v>62.328767123287669</v>
      </c>
      <c r="J346" s="208">
        <f t="shared" si="205"/>
        <v>63.013698630136986</v>
      </c>
      <c r="K346" s="208">
        <f t="shared" si="205"/>
        <v>73.287671232876718</v>
      </c>
      <c r="L346" s="208">
        <f t="shared" si="205"/>
        <v>52.054794520547944</v>
      </c>
      <c r="M346" s="208">
        <f t="shared" si="205"/>
        <v>62.328767123287669</v>
      </c>
      <c r="N346" s="208">
        <f t="shared" si="205"/>
        <v>63.013698630136986</v>
      </c>
      <c r="O346" s="208">
        <f t="shared" si="205"/>
        <v>73.287671232876718</v>
      </c>
      <c r="P346" s="208">
        <f t="shared" si="205"/>
        <v>51.369863013698627</v>
      </c>
      <c r="Q346" s="208">
        <f t="shared" si="205"/>
        <v>54.537671232876711</v>
      </c>
      <c r="R346" s="208">
        <f t="shared" si="205"/>
        <v>47.260273972602739</v>
      </c>
      <c r="S346" s="208">
        <f t="shared" si="205"/>
        <v>45.804794520547944</v>
      </c>
      <c r="T346" s="208">
        <f t="shared" si="205"/>
        <v>25.684931506849313</v>
      </c>
      <c r="U346" s="208">
        <f t="shared" si="205"/>
        <v>23.373287671232877</v>
      </c>
      <c r="V346" s="208">
        <f t="shared" si="205"/>
        <v>15.753424657534246</v>
      </c>
      <c r="W346" s="208">
        <f t="shared" si="205"/>
        <v>9.1609589041095898</v>
      </c>
      <c r="X346" s="208">
        <f t="shared" si="205"/>
        <v>5.1369863013698627</v>
      </c>
      <c r="Y346" s="208">
        <f t="shared" si="205"/>
        <v>0</v>
      </c>
      <c r="Z346" s="208">
        <f t="shared" si="205"/>
        <v>0</v>
      </c>
      <c r="AA346" s="208">
        <f t="shared" si="205"/>
        <v>0</v>
      </c>
      <c r="AB346" s="208">
        <f t="shared" si="205"/>
        <v>0</v>
      </c>
      <c r="AC346" s="208">
        <f t="shared" si="205"/>
        <v>0</v>
      </c>
      <c r="AD346" s="208">
        <f t="shared" si="205"/>
        <v>0</v>
      </c>
      <c r="AE346" s="208">
        <f t="shared" si="205"/>
        <v>0</v>
      </c>
      <c r="AF346" s="208">
        <f t="shared" si="205"/>
        <v>0</v>
      </c>
      <c r="AG346" s="208">
        <f t="shared" si="205"/>
        <v>0</v>
      </c>
      <c r="AH346" s="208">
        <f t="shared" si="195"/>
        <v>986.9863013698631</v>
      </c>
      <c r="AJ346" s="286"/>
      <c r="AK346" s="286"/>
      <c r="AL346" s="286"/>
      <c r="AM346" s="286"/>
      <c r="AN346" s="286"/>
      <c r="AO346" s="286"/>
    </row>
    <row r="347" spans="2:41">
      <c r="B347" s="76" t="str">
        <f>B335</f>
        <v>Заём бенефициара/аффилированных лиц</v>
      </c>
      <c r="C347" s="130" t="s">
        <v>93</v>
      </c>
      <c r="D347" s="210">
        <f>D353*$M$322/365*(D330-F322)</f>
        <v>0</v>
      </c>
      <c r="E347" s="210">
        <f>E353*$M$322/365*(E330-E329)</f>
        <v>0</v>
      </c>
      <c r="F347" s="210">
        <f t="shared" ref="F347:AG347" si="206">F353*$M$322/365*(F330-F329)</f>
        <v>0</v>
      </c>
      <c r="G347" s="210">
        <f t="shared" si="206"/>
        <v>0</v>
      </c>
      <c r="H347" s="210">
        <f t="shared" si="206"/>
        <v>0</v>
      </c>
      <c r="I347" s="210">
        <f t="shared" si="206"/>
        <v>0</v>
      </c>
      <c r="J347" s="210">
        <f t="shared" si="206"/>
        <v>0</v>
      </c>
      <c r="K347" s="210">
        <f t="shared" si="206"/>
        <v>0</v>
      </c>
      <c r="L347" s="210">
        <f t="shared" si="206"/>
        <v>0</v>
      </c>
      <c r="M347" s="210">
        <f t="shared" si="206"/>
        <v>0</v>
      </c>
      <c r="N347" s="210">
        <f t="shared" si="206"/>
        <v>0</v>
      </c>
      <c r="O347" s="210">
        <f t="shared" si="206"/>
        <v>0</v>
      </c>
      <c r="P347" s="210">
        <f t="shared" si="206"/>
        <v>0</v>
      </c>
      <c r="Q347" s="210">
        <f t="shared" si="206"/>
        <v>0</v>
      </c>
      <c r="R347" s="210">
        <f t="shared" si="206"/>
        <v>0</v>
      </c>
      <c r="S347" s="210">
        <f t="shared" si="206"/>
        <v>0</v>
      </c>
      <c r="T347" s="210">
        <f t="shared" si="206"/>
        <v>0</v>
      </c>
      <c r="U347" s="210">
        <f t="shared" si="206"/>
        <v>0</v>
      </c>
      <c r="V347" s="210">
        <f t="shared" si="206"/>
        <v>0</v>
      </c>
      <c r="W347" s="210">
        <f t="shared" si="206"/>
        <v>0</v>
      </c>
      <c r="X347" s="210">
        <f t="shared" si="206"/>
        <v>0</v>
      </c>
      <c r="Y347" s="210">
        <f t="shared" si="206"/>
        <v>0</v>
      </c>
      <c r="Z347" s="210">
        <f t="shared" si="206"/>
        <v>0</v>
      </c>
      <c r="AA347" s="210">
        <f t="shared" si="206"/>
        <v>0</v>
      </c>
      <c r="AB347" s="210">
        <f t="shared" si="206"/>
        <v>0</v>
      </c>
      <c r="AC347" s="210">
        <f t="shared" si="206"/>
        <v>0</v>
      </c>
      <c r="AD347" s="210">
        <f t="shared" si="206"/>
        <v>0</v>
      </c>
      <c r="AE347" s="210">
        <f t="shared" si="206"/>
        <v>0</v>
      </c>
      <c r="AF347" s="210">
        <f t="shared" si="206"/>
        <v>0</v>
      </c>
      <c r="AG347" s="210">
        <f t="shared" si="206"/>
        <v>0</v>
      </c>
      <c r="AH347" s="210">
        <f t="shared" si="195"/>
        <v>0</v>
      </c>
      <c r="AJ347" s="286"/>
      <c r="AK347" s="286"/>
      <c r="AL347" s="286"/>
      <c r="AM347" s="286"/>
      <c r="AN347" s="286"/>
      <c r="AO347" s="286"/>
    </row>
    <row r="348" spans="2:41">
      <c r="B348" s="76" t="str">
        <f>B336</f>
        <v>Кредит (оборотный)</v>
      </c>
      <c r="C348" s="130" t="s">
        <v>93</v>
      </c>
      <c r="D348" s="210">
        <f>D354*$M$323/365*(D330-F323)</f>
        <v>0</v>
      </c>
      <c r="E348" s="210">
        <f>E354*$M$323/365*(E330-E329)</f>
        <v>0</v>
      </c>
      <c r="F348" s="210">
        <f t="shared" ref="F348:AG348" si="207">F354*$M$323/365*(F330-F329)</f>
        <v>0</v>
      </c>
      <c r="G348" s="210">
        <f t="shared" si="207"/>
        <v>0</v>
      </c>
      <c r="H348" s="210">
        <f t="shared" si="207"/>
        <v>0</v>
      </c>
      <c r="I348" s="210">
        <f t="shared" si="207"/>
        <v>0</v>
      </c>
      <c r="J348" s="210">
        <f t="shared" si="207"/>
        <v>0</v>
      </c>
      <c r="K348" s="210">
        <f t="shared" si="207"/>
        <v>0</v>
      </c>
      <c r="L348" s="210">
        <f t="shared" si="207"/>
        <v>0</v>
      </c>
      <c r="M348" s="210">
        <f t="shared" si="207"/>
        <v>0</v>
      </c>
      <c r="N348" s="210">
        <f t="shared" si="207"/>
        <v>0</v>
      </c>
      <c r="O348" s="210">
        <f t="shared" si="207"/>
        <v>0</v>
      </c>
      <c r="P348" s="210">
        <f t="shared" si="207"/>
        <v>0</v>
      </c>
      <c r="Q348" s="210">
        <f t="shared" si="207"/>
        <v>0</v>
      </c>
      <c r="R348" s="210">
        <f t="shared" si="207"/>
        <v>0</v>
      </c>
      <c r="S348" s="210">
        <f t="shared" si="207"/>
        <v>0</v>
      </c>
      <c r="T348" s="210">
        <f t="shared" si="207"/>
        <v>0</v>
      </c>
      <c r="U348" s="210">
        <f t="shared" si="207"/>
        <v>0</v>
      </c>
      <c r="V348" s="210">
        <f t="shared" si="207"/>
        <v>0</v>
      </c>
      <c r="W348" s="210">
        <f t="shared" si="207"/>
        <v>0</v>
      </c>
      <c r="X348" s="210">
        <f t="shared" si="207"/>
        <v>0</v>
      </c>
      <c r="Y348" s="210">
        <f t="shared" si="207"/>
        <v>0</v>
      </c>
      <c r="Z348" s="210">
        <f t="shared" si="207"/>
        <v>0</v>
      </c>
      <c r="AA348" s="210">
        <f t="shared" si="207"/>
        <v>0</v>
      </c>
      <c r="AB348" s="210">
        <f t="shared" si="207"/>
        <v>0</v>
      </c>
      <c r="AC348" s="210">
        <f t="shared" si="207"/>
        <v>0</v>
      </c>
      <c r="AD348" s="210">
        <f t="shared" si="207"/>
        <v>0</v>
      </c>
      <c r="AE348" s="210">
        <f t="shared" si="207"/>
        <v>0</v>
      </c>
      <c r="AF348" s="210">
        <f t="shared" si="207"/>
        <v>0</v>
      </c>
      <c r="AG348" s="210">
        <f t="shared" si="207"/>
        <v>0</v>
      </c>
      <c r="AH348" s="210">
        <f t="shared" si="195"/>
        <v>0</v>
      </c>
      <c r="AJ348" s="286"/>
      <c r="AK348" s="286"/>
      <c r="AL348" s="286"/>
      <c r="AM348" s="286"/>
      <c r="AN348" s="286"/>
      <c r="AO348" s="286"/>
    </row>
    <row r="349" spans="2:41">
      <c r="B349" s="76" t="str">
        <f>B337</f>
        <v>Кредит 2</v>
      </c>
      <c r="C349" s="130" t="s">
        <v>93</v>
      </c>
      <c r="D349" s="210">
        <f>D355*$M$324/365*(D330-F324)</f>
        <v>0</v>
      </c>
      <c r="E349" s="210">
        <f>E355*$M$324/365*(E330-E329)</f>
        <v>0</v>
      </c>
      <c r="F349" s="210">
        <f t="shared" ref="F349:AG349" si="208">F355*$M$324/365*(F330-F329)</f>
        <v>0</v>
      </c>
      <c r="G349" s="210">
        <f t="shared" si="208"/>
        <v>0</v>
      </c>
      <c r="H349" s="210">
        <f t="shared" si="208"/>
        <v>0</v>
      </c>
      <c r="I349" s="210">
        <f t="shared" si="208"/>
        <v>0</v>
      </c>
      <c r="J349" s="210">
        <f t="shared" si="208"/>
        <v>0</v>
      </c>
      <c r="K349" s="210">
        <f t="shared" si="208"/>
        <v>0</v>
      </c>
      <c r="L349" s="210">
        <f t="shared" si="208"/>
        <v>0</v>
      </c>
      <c r="M349" s="210">
        <f t="shared" si="208"/>
        <v>0</v>
      </c>
      <c r="N349" s="210">
        <f t="shared" si="208"/>
        <v>0</v>
      </c>
      <c r="O349" s="210">
        <f t="shared" si="208"/>
        <v>0</v>
      </c>
      <c r="P349" s="210">
        <f t="shared" si="208"/>
        <v>0</v>
      </c>
      <c r="Q349" s="210">
        <f t="shared" si="208"/>
        <v>0</v>
      </c>
      <c r="R349" s="210">
        <f t="shared" si="208"/>
        <v>0</v>
      </c>
      <c r="S349" s="210">
        <f t="shared" si="208"/>
        <v>0</v>
      </c>
      <c r="T349" s="210">
        <f t="shared" si="208"/>
        <v>0</v>
      </c>
      <c r="U349" s="210">
        <f t="shared" si="208"/>
        <v>0</v>
      </c>
      <c r="V349" s="210">
        <f t="shared" si="208"/>
        <v>0</v>
      </c>
      <c r="W349" s="210">
        <f t="shared" si="208"/>
        <v>0</v>
      </c>
      <c r="X349" s="210">
        <f t="shared" si="208"/>
        <v>0</v>
      </c>
      <c r="Y349" s="210">
        <f t="shared" si="208"/>
        <v>0</v>
      </c>
      <c r="Z349" s="210">
        <f t="shared" si="208"/>
        <v>0</v>
      </c>
      <c r="AA349" s="210">
        <f t="shared" si="208"/>
        <v>0</v>
      </c>
      <c r="AB349" s="210">
        <f t="shared" si="208"/>
        <v>0</v>
      </c>
      <c r="AC349" s="210">
        <f t="shared" si="208"/>
        <v>0</v>
      </c>
      <c r="AD349" s="210">
        <f t="shared" si="208"/>
        <v>0</v>
      </c>
      <c r="AE349" s="210">
        <f t="shared" si="208"/>
        <v>0</v>
      </c>
      <c r="AF349" s="210">
        <f>AF355*$M$324/365*(AF330-AF329)</f>
        <v>0</v>
      </c>
      <c r="AG349" s="210">
        <f t="shared" si="208"/>
        <v>0</v>
      </c>
      <c r="AH349" s="210">
        <f t="shared" si="195"/>
        <v>0</v>
      </c>
      <c r="AJ349" s="286"/>
      <c r="AK349" s="286"/>
      <c r="AL349" s="286"/>
      <c r="AM349" s="286"/>
      <c r="AN349" s="286"/>
      <c r="AO349" s="286"/>
    </row>
    <row r="350" spans="2:41">
      <c r="B350" s="76" t="str">
        <f>B338</f>
        <v>Кредит 3</v>
      </c>
      <c r="C350" s="130" t="s">
        <v>93</v>
      </c>
      <c r="D350" s="210">
        <f>D356*$M$325/365*(D330-F325)</f>
        <v>0</v>
      </c>
      <c r="E350" s="210">
        <f>E356*$M$325/365*(E330-E329)</f>
        <v>0</v>
      </c>
      <c r="F350" s="210">
        <f t="shared" ref="F350:AG350" si="209">F356*$M$325/365*(F330-F329)</f>
        <v>0</v>
      </c>
      <c r="G350" s="210">
        <f t="shared" si="209"/>
        <v>0</v>
      </c>
      <c r="H350" s="210">
        <f t="shared" si="209"/>
        <v>0</v>
      </c>
      <c r="I350" s="210">
        <f t="shared" si="209"/>
        <v>0</v>
      </c>
      <c r="J350" s="210">
        <f t="shared" si="209"/>
        <v>0</v>
      </c>
      <c r="K350" s="210">
        <f t="shared" si="209"/>
        <v>0</v>
      </c>
      <c r="L350" s="210">
        <f t="shared" si="209"/>
        <v>0</v>
      </c>
      <c r="M350" s="210">
        <f t="shared" si="209"/>
        <v>0</v>
      </c>
      <c r="N350" s="210">
        <f t="shared" si="209"/>
        <v>0</v>
      </c>
      <c r="O350" s="210">
        <f t="shared" si="209"/>
        <v>0</v>
      </c>
      <c r="P350" s="210">
        <f t="shared" si="209"/>
        <v>0</v>
      </c>
      <c r="Q350" s="210">
        <f t="shared" si="209"/>
        <v>0</v>
      </c>
      <c r="R350" s="210">
        <f t="shared" si="209"/>
        <v>0</v>
      </c>
      <c r="S350" s="210">
        <f t="shared" si="209"/>
        <v>0</v>
      </c>
      <c r="T350" s="210">
        <f t="shared" si="209"/>
        <v>0</v>
      </c>
      <c r="U350" s="210">
        <f t="shared" si="209"/>
        <v>0</v>
      </c>
      <c r="V350" s="210">
        <f t="shared" si="209"/>
        <v>0</v>
      </c>
      <c r="W350" s="210">
        <f t="shared" si="209"/>
        <v>0</v>
      </c>
      <c r="X350" s="210">
        <f t="shared" si="209"/>
        <v>0</v>
      </c>
      <c r="Y350" s="210">
        <f t="shared" si="209"/>
        <v>0</v>
      </c>
      <c r="Z350" s="210">
        <f t="shared" si="209"/>
        <v>0</v>
      </c>
      <c r="AA350" s="210">
        <f t="shared" si="209"/>
        <v>0</v>
      </c>
      <c r="AB350" s="210">
        <f t="shared" si="209"/>
        <v>0</v>
      </c>
      <c r="AC350" s="210">
        <f t="shared" si="209"/>
        <v>0</v>
      </c>
      <c r="AD350" s="210">
        <f t="shared" si="209"/>
        <v>0</v>
      </c>
      <c r="AE350" s="210">
        <f t="shared" si="209"/>
        <v>0</v>
      </c>
      <c r="AF350" s="210">
        <f t="shared" si="209"/>
        <v>0</v>
      </c>
      <c r="AG350" s="210">
        <f t="shared" si="209"/>
        <v>0</v>
      </c>
      <c r="AH350" s="210">
        <f t="shared" si="195"/>
        <v>0</v>
      </c>
      <c r="AJ350" s="286"/>
      <c r="AK350" s="286"/>
      <c r="AL350" s="286"/>
      <c r="AM350" s="286"/>
      <c r="AN350" s="286"/>
      <c r="AO350" s="286"/>
    </row>
    <row r="351" spans="2:41">
      <c r="B351" s="76" t="str">
        <f>B339</f>
        <v>Займ РФРП КО</v>
      </c>
      <c r="C351" s="130" t="s">
        <v>93</v>
      </c>
      <c r="D351" s="209">
        <f>SUMIF('Параметры займа'!$K$26:$K$54,D331,'Параметры займа'!$L$26:$L$54)</f>
        <v>9.589041095890412</v>
      </c>
      <c r="E351" s="209">
        <f>SUMIF('Параметры займа'!$K$26:$K$54,E331,'Параметры займа'!$L$26:$L$54)</f>
        <v>62.328767123287669</v>
      </c>
      <c r="F351" s="209">
        <f>SUMIF('Параметры займа'!$K$26:$K$54,F331,'Параметры займа'!$L$26:$L$54)</f>
        <v>63.013698630136986</v>
      </c>
      <c r="G351" s="209">
        <f>SUMIF('Параметры займа'!$K$26:$K$54,G331,'Параметры займа'!$L$26:$L$54)</f>
        <v>73.287671232876718</v>
      </c>
      <c r="H351" s="209">
        <f>SUMIF('Параметры займа'!$K$26:$K$54,H331,'Параметры займа'!$L$26:$L$54)</f>
        <v>51.369863013698627</v>
      </c>
      <c r="I351" s="209">
        <f>SUMIF('Параметры займа'!$K$26:$K$54,I331,'Параметры займа'!$L$26:$L$54)</f>
        <v>62.328767123287669</v>
      </c>
      <c r="J351" s="209">
        <f>SUMIF('Параметры займа'!$K$26:$K$54,J331,'Параметры займа'!$L$26:$L$54)</f>
        <v>63.013698630136986</v>
      </c>
      <c r="K351" s="209">
        <f>SUMIF('Параметры займа'!$K$26:$K$54,K331,'Параметры займа'!$L$26:$L$54)</f>
        <v>73.287671232876718</v>
      </c>
      <c r="L351" s="209">
        <f>SUMIF('Параметры займа'!$K$26:$K$54,L331,'Параметры займа'!$L$26:$L$54)</f>
        <v>52.054794520547944</v>
      </c>
      <c r="M351" s="209">
        <f>SUMIF('Параметры займа'!$K$26:$K$54,M331,'Параметры займа'!$L$26:$L$54)</f>
        <v>62.328767123287669</v>
      </c>
      <c r="N351" s="209">
        <f>SUMIF('Параметры займа'!$K$26:$K$54,N331,'Параметры займа'!$L$26:$L$54)</f>
        <v>63.013698630136986</v>
      </c>
      <c r="O351" s="209">
        <f>SUMIF('Параметры займа'!$K$26:$K$54,O331,'Параметры займа'!$L$26:$L$54)</f>
        <v>73.287671232876718</v>
      </c>
      <c r="P351" s="209">
        <f>SUMIF('Параметры займа'!$K$26:$K$54,P331,'Параметры займа'!$L$26:$L$54)</f>
        <v>51.369863013698627</v>
      </c>
      <c r="Q351" s="209">
        <f>SUMIF('Параметры займа'!$K$26:$K$54,Q331,'Параметры займа'!$L$26:$L$54)</f>
        <v>54.537671232876711</v>
      </c>
      <c r="R351" s="209">
        <f>SUMIF('Параметры займа'!$K$26:$K$54,R331,'Параметры займа'!$L$26:$L$54)</f>
        <v>47.260273972602739</v>
      </c>
      <c r="S351" s="209">
        <f>SUMIF('Параметры займа'!$K$26:$K$54,S331,'Параметры займа'!$L$26:$L$54)</f>
        <v>45.804794520547944</v>
      </c>
      <c r="T351" s="209">
        <f>SUMIF('Параметры займа'!$K$26:$K$54,T331,'Параметры займа'!$L$26:$L$54)</f>
        <v>25.684931506849313</v>
      </c>
      <c r="U351" s="209">
        <f>SUMIF('Параметры займа'!$K$26:$K$54,U331,'Параметры займа'!$L$26:$L$54)</f>
        <v>23.373287671232877</v>
      </c>
      <c r="V351" s="209">
        <f>SUMIF('Параметры займа'!$K$26:$K$54,V331,'Параметры займа'!$L$26:$L$54)</f>
        <v>15.753424657534246</v>
      </c>
      <c r="W351" s="209">
        <f>SUMIF('Параметры займа'!$K$26:$K$54,W331,'Параметры займа'!$L$26:$L$54)</f>
        <v>9.1609589041095898</v>
      </c>
      <c r="X351" s="209">
        <f>SUMIF('Параметры займа'!$K$26:$K$54,X331,'Параметры займа'!$L$26:$L$54)</f>
        <v>5.1369863013698627</v>
      </c>
      <c r="Y351" s="209">
        <f>SUMIF('Параметры займа'!$K$26:$K$54,Y331,'Параметры займа'!$L$26:$L$54)</f>
        <v>0</v>
      </c>
      <c r="Z351" s="209">
        <f>SUMIF('Параметры займа'!$K$26:$K$54,Z331,'Параметры займа'!$L$26:$L$54)</f>
        <v>0</v>
      </c>
      <c r="AA351" s="209">
        <f>SUMIF('Параметры займа'!$K$26:$K$54,AA331,'Параметры займа'!$L$26:$L$54)</f>
        <v>0</v>
      </c>
      <c r="AB351" s="209">
        <f>SUMIF('Параметры займа'!$K$26:$K$54,AB331,'Параметры займа'!$L$26:$L$54)</f>
        <v>0</v>
      </c>
      <c r="AC351" s="209">
        <f>SUMIF('Параметры займа'!$K$26:$K$54,AC331,'Параметры займа'!$L$26:$L$54)</f>
        <v>0</v>
      </c>
      <c r="AD351" s="209">
        <f>SUMIF('Параметры займа'!$K$26:$K$54,AD331,'Параметры займа'!$L$26:$L$54)</f>
        <v>0</v>
      </c>
      <c r="AE351" s="209">
        <f>SUMIF('Параметры займа'!$K$26:$K$54,AE331,'Параметры займа'!$L$26:$L$54)</f>
        <v>0</v>
      </c>
      <c r="AF351" s="209">
        <f>SUMIF('Параметры займа'!$K$26:$K$54,AF331,'Параметры займа'!$L$26:$L$54)</f>
        <v>0</v>
      </c>
      <c r="AG351" s="209">
        <f>SUMIF('Параметры займа'!$K$26:$K$54,AG331,'Параметры займа'!$L$26:$L$54)</f>
        <v>0</v>
      </c>
      <c r="AH351" s="209">
        <f t="shared" si="195"/>
        <v>986.9863013698631</v>
      </c>
      <c r="AJ351" s="286"/>
      <c r="AK351" s="286"/>
      <c r="AL351" s="286"/>
      <c r="AM351" s="286"/>
      <c r="AN351" s="286"/>
      <c r="AO351" s="286"/>
    </row>
    <row r="352" spans="2:41">
      <c r="B352" s="181" t="s">
        <v>403</v>
      </c>
      <c r="C352" s="182" t="s">
        <v>93</v>
      </c>
      <c r="D352" s="208">
        <f>SUM(D353:D357)</f>
        <v>5000</v>
      </c>
      <c r="E352" s="208">
        <f t="shared" ref="E352:AG352" si="210">SUM(E353:E356)</f>
        <v>0</v>
      </c>
      <c r="F352" s="208">
        <f t="shared" si="210"/>
        <v>0</v>
      </c>
      <c r="G352" s="208">
        <f t="shared" si="210"/>
        <v>0</v>
      </c>
      <c r="H352" s="208">
        <f t="shared" si="210"/>
        <v>0</v>
      </c>
      <c r="I352" s="208">
        <f t="shared" si="210"/>
        <v>0</v>
      </c>
      <c r="J352" s="208">
        <f t="shared" si="210"/>
        <v>0</v>
      </c>
      <c r="K352" s="208">
        <f t="shared" si="210"/>
        <v>0</v>
      </c>
      <c r="L352" s="208">
        <f t="shared" si="210"/>
        <v>0</v>
      </c>
      <c r="M352" s="208">
        <f t="shared" si="210"/>
        <v>0</v>
      </c>
      <c r="N352" s="208">
        <f t="shared" si="210"/>
        <v>0</v>
      </c>
      <c r="O352" s="208">
        <f t="shared" si="210"/>
        <v>0</v>
      </c>
      <c r="P352" s="208">
        <f t="shared" si="210"/>
        <v>0</v>
      </c>
      <c r="Q352" s="208">
        <f t="shared" si="210"/>
        <v>0</v>
      </c>
      <c r="R352" s="208">
        <f t="shared" si="210"/>
        <v>0</v>
      </c>
      <c r="S352" s="208">
        <f t="shared" si="210"/>
        <v>0</v>
      </c>
      <c r="T352" s="208">
        <f t="shared" si="210"/>
        <v>0</v>
      </c>
      <c r="U352" s="208">
        <f t="shared" si="210"/>
        <v>0</v>
      </c>
      <c r="V352" s="208">
        <f t="shared" si="210"/>
        <v>0</v>
      </c>
      <c r="W352" s="208">
        <f t="shared" si="210"/>
        <v>0</v>
      </c>
      <c r="X352" s="208">
        <f t="shared" si="210"/>
        <v>0</v>
      </c>
      <c r="Y352" s="208">
        <f t="shared" si="210"/>
        <v>0</v>
      </c>
      <c r="Z352" s="208">
        <f t="shared" si="210"/>
        <v>0</v>
      </c>
      <c r="AA352" s="208">
        <f t="shared" si="210"/>
        <v>0</v>
      </c>
      <c r="AB352" s="208">
        <f t="shared" si="210"/>
        <v>0</v>
      </c>
      <c r="AC352" s="208">
        <f t="shared" si="210"/>
        <v>0</v>
      </c>
      <c r="AD352" s="208">
        <f t="shared" si="210"/>
        <v>0</v>
      </c>
      <c r="AE352" s="208">
        <f t="shared" si="210"/>
        <v>0</v>
      </c>
      <c r="AF352" s="208">
        <f t="shared" si="210"/>
        <v>0</v>
      </c>
      <c r="AG352" s="208">
        <f t="shared" si="210"/>
        <v>0</v>
      </c>
      <c r="AH352" s="208"/>
      <c r="AJ352" s="286"/>
      <c r="AK352" s="286"/>
      <c r="AL352" s="286"/>
      <c r="AM352" s="286"/>
      <c r="AN352" s="286"/>
      <c r="AO352" s="286"/>
    </row>
    <row r="353" spans="2:41">
      <c r="B353" s="76" t="str">
        <f>B341</f>
        <v>Заём бенефициара/аффилированных лиц</v>
      </c>
      <c r="C353" s="130" t="s">
        <v>93</v>
      </c>
      <c r="D353" s="210">
        <f>SUM($D$335:D335)-SUM($D$341:D341)</f>
        <v>0</v>
      </c>
      <c r="E353" s="210">
        <f>SUM($D$335:E335)-SUM($D$341:E341)</f>
        <v>0</v>
      </c>
      <c r="F353" s="210">
        <f>SUM($D$335:F335)-SUM($D$341:F341)</f>
        <v>0</v>
      </c>
      <c r="G353" s="210">
        <f>SUM($D$335:G335)-SUM($D$341:G341)</f>
        <v>0</v>
      </c>
      <c r="H353" s="210">
        <f>SUM($D$335:H335)-SUM($D$341:H341)</f>
        <v>0</v>
      </c>
      <c r="I353" s="210">
        <f>SUM($D$335:I335)-SUM($D$341:I341)</f>
        <v>0</v>
      </c>
      <c r="J353" s="210">
        <f>SUM($D$335:J335)-SUM($D$341:J341)</f>
        <v>0</v>
      </c>
      <c r="K353" s="210">
        <f>SUM($D$335:K335)-SUM($D$341:K341)</f>
        <v>0</v>
      </c>
      <c r="L353" s="210">
        <f>SUM($D$335:L335)-SUM($D$341:L341)</f>
        <v>0</v>
      </c>
      <c r="M353" s="210">
        <f>SUM($D$335:M335)-SUM($D$341:M341)</f>
        <v>0</v>
      </c>
      <c r="N353" s="210">
        <f>SUM($D$335:N335)-SUM($D$341:N341)</f>
        <v>0</v>
      </c>
      <c r="O353" s="210">
        <f>SUM($D$335:O335)-SUM($D$341:O341)</f>
        <v>0</v>
      </c>
      <c r="P353" s="210">
        <f>SUM($D$335:P335)-SUM($D$341:P341)</f>
        <v>0</v>
      </c>
      <c r="Q353" s="210">
        <f>SUM($D$335:Q335)-SUM($D$341:Q341)</f>
        <v>0</v>
      </c>
      <c r="R353" s="210">
        <f>SUM($D$335:R335)-SUM($D$341:R341)</f>
        <v>0</v>
      </c>
      <c r="S353" s="210">
        <f>SUM($D$335:S335)-SUM($D$341:S341)</f>
        <v>0</v>
      </c>
      <c r="T353" s="210">
        <f>SUM($D$335:T335)-SUM($D$341:T341)</f>
        <v>0</v>
      </c>
      <c r="U353" s="210">
        <f>SUM($D$335:U335)-SUM($D$341:U341)</f>
        <v>0</v>
      </c>
      <c r="V353" s="210">
        <f>SUM($D$335:V335)-SUM($D$341:V341)</f>
        <v>0</v>
      </c>
      <c r="W353" s="210">
        <f>SUM($D$335:W335)-SUM($D$341:W341)</f>
        <v>0</v>
      </c>
      <c r="X353" s="210">
        <f>SUM($D$335:X335)-SUM($D$341:X341)</f>
        <v>0</v>
      </c>
      <c r="Y353" s="210">
        <f>SUM($D$335:Y335)-SUM($D$341:Y341)</f>
        <v>0</v>
      </c>
      <c r="Z353" s="210">
        <f>SUM($D$335:Z335)-SUM($D$341:Z341)</f>
        <v>0</v>
      </c>
      <c r="AA353" s="210">
        <f>SUM($D$335:AA335)-SUM($D$341:AA341)</f>
        <v>0</v>
      </c>
      <c r="AB353" s="210">
        <f>SUM($D$335:AB335)-SUM($D$341:AB341)</f>
        <v>0</v>
      </c>
      <c r="AC353" s="210">
        <f>SUM($D$335:AC335)-SUM($D$341:AC341)</f>
        <v>0</v>
      </c>
      <c r="AD353" s="210">
        <f>SUM($D$335:AD335)-SUM($D$341:AD341)</f>
        <v>0</v>
      </c>
      <c r="AE353" s="210">
        <f>SUM($D$335:AE335)-SUM($D$341:AE341)</f>
        <v>0</v>
      </c>
      <c r="AF353" s="210">
        <f>SUM($D$335:AF335)-SUM($D$341:AF341)</f>
        <v>0</v>
      </c>
      <c r="AG353" s="210">
        <f>SUM($D$335:AG335)-SUM($D$341:AG341)</f>
        <v>0</v>
      </c>
      <c r="AH353" s="209"/>
      <c r="AJ353" s="286"/>
      <c r="AK353" s="286"/>
      <c r="AL353" s="286"/>
      <c r="AM353" s="286"/>
      <c r="AN353" s="286"/>
      <c r="AO353" s="286"/>
    </row>
    <row r="354" spans="2:41">
      <c r="B354" s="76" t="str">
        <f>B342</f>
        <v>Кредит (оборотный)</v>
      </c>
      <c r="C354" s="130" t="s">
        <v>93</v>
      </c>
      <c r="D354" s="210">
        <f>SUM($D$336:D336)-SUM($D$342:D342)</f>
        <v>0</v>
      </c>
      <c r="E354" s="210">
        <f>SUM($D$336:E336)-SUM($D$342:E342)</f>
        <v>0</v>
      </c>
      <c r="F354" s="210">
        <f>SUM($D$336:F336)-SUM($D$342:F342)</f>
        <v>0</v>
      </c>
      <c r="G354" s="210">
        <f>SUM($D$336:G336)-SUM($D$342:G342)</f>
        <v>0</v>
      </c>
      <c r="H354" s="210">
        <f>SUM($D$336:H336)-SUM($D$342:H342)</f>
        <v>0</v>
      </c>
      <c r="I354" s="210">
        <f>SUM($D$336:I336)-SUM($D$342:I342)</f>
        <v>0</v>
      </c>
      <c r="J354" s="210">
        <f>SUM($D$336:J336)-SUM($D$342:J342)</f>
        <v>0</v>
      </c>
      <c r="K354" s="210">
        <f>SUM($D$336:K336)-SUM($D$342:K342)</f>
        <v>0</v>
      </c>
      <c r="L354" s="210">
        <f>SUM($D$336:L336)-SUM($D$342:L342)</f>
        <v>0</v>
      </c>
      <c r="M354" s="210">
        <f>SUM($D$336:M336)-SUM($D$342:M342)</f>
        <v>0</v>
      </c>
      <c r="N354" s="210">
        <f>SUM($D$336:N336)-SUM($D$342:N342)</f>
        <v>0</v>
      </c>
      <c r="O354" s="210">
        <f>SUM($D$336:O336)-SUM($D$342:O342)</f>
        <v>0</v>
      </c>
      <c r="P354" s="210">
        <f>SUM($D$336:P336)-SUM($D$342:P342)</f>
        <v>0</v>
      </c>
      <c r="Q354" s="210">
        <f>SUM($D$336:Q336)-SUM($D$342:Q342)</f>
        <v>0</v>
      </c>
      <c r="R354" s="210">
        <f>SUM($D$336:R336)-SUM($D$342:R342)</f>
        <v>0</v>
      </c>
      <c r="S354" s="210">
        <f>SUM($D$336:S336)-SUM($D$342:S342)</f>
        <v>0</v>
      </c>
      <c r="T354" s="210">
        <f>SUM($D$336:T336)-SUM($D$342:T342)</f>
        <v>0</v>
      </c>
      <c r="U354" s="210">
        <f>SUM($D$336:U336)-SUM($D$342:U342)</f>
        <v>0</v>
      </c>
      <c r="V354" s="210">
        <f>SUM($D$336:V336)-SUM($D$342:V342)</f>
        <v>0</v>
      </c>
      <c r="W354" s="210">
        <f>SUM($D$336:W336)-SUM($D$342:W342)</f>
        <v>0</v>
      </c>
      <c r="X354" s="210">
        <f>SUM($D$336:X336)-SUM($D$342:X342)</f>
        <v>0</v>
      </c>
      <c r="Y354" s="210">
        <f>SUM($D$336:Y336)-SUM($D$342:Y342)</f>
        <v>0</v>
      </c>
      <c r="Z354" s="210">
        <f>SUM($D$336:Z336)-SUM($D$342:Z342)</f>
        <v>0</v>
      </c>
      <c r="AA354" s="210">
        <f>SUM($D$336:AA336)-SUM($D$342:AA342)</f>
        <v>0</v>
      </c>
      <c r="AB354" s="210">
        <f>SUM($D$336:AB336)-SUM($D$342:AB342)</f>
        <v>0</v>
      </c>
      <c r="AC354" s="210">
        <f>SUM($D$336:AC336)-SUM($D$342:AC342)</f>
        <v>0</v>
      </c>
      <c r="AD354" s="210">
        <f>SUM($D$336:AD336)-SUM($D$342:AD342)</f>
        <v>0</v>
      </c>
      <c r="AE354" s="210">
        <f>SUM($D$336:AE336)-SUM($D$342:AE342)</f>
        <v>0</v>
      </c>
      <c r="AF354" s="210">
        <f>SUM($D$336:AF336)-SUM($D$342:AF342)</f>
        <v>0</v>
      </c>
      <c r="AG354" s="210">
        <f>SUM($D$336:AG336)-SUM($D$342:AG342)</f>
        <v>0</v>
      </c>
      <c r="AH354" s="209"/>
      <c r="AJ354" s="286"/>
      <c r="AK354" s="286"/>
      <c r="AL354" s="286"/>
      <c r="AM354" s="286"/>
      <c r="AN354" s="286"/>
      <c r="AO354" s="286"/>
    </row>
    <row r="355" spans="2:41">
      <c r="B355" s="76" t="str">
        <f>B343</f>
        <v>Кредит 2</v>
      </c>
      <c r="C355" s="130" t="s">
        <v>93</v>
      </c>
      <c r="D355" s="210">
        <f>SUM($D$337:D337)-SUM($D$343:D343)</f>
        <v>0</v>
      </c>
      <c r="E355" s="210">
        <f>SUM($D$337:E337)-SUM($D$343:E343)</f>
        <v>0</v>
      </c>
      <c r="F355" s="210">
        <f>SUM($D$337:F337)-SUM($D$343:F343)</f>
        <v>0</v>
      </c>
      <c r="G355" s="210">
        <f>SUM($D$337:G337)-SUM($D$343:G343)</f>
        <v>0</v>
      </c>
      <c r="H355" s="210">
        <f>SUM($D$337:H337)-SUM($D$343:H343)</f>
        <v>0</v>
      </c>
      <c r="I355" s="210">
        <f>SUM($D$337:I337)-SUM($D$343:I343)</f>
        <v>0</v>
      </c>
      <c r="J355" s="210">
        <f>SUM($D$337:J337)-SUM($D$343:J343)</f>
        <v>0</v>
      </c>
      <c r="K355" s="210">
        <f>SUM($D$337:K337)-SUM($D$343:K343)</f>
        <v>0</v>
      </c>
      <c r="L355" s="210">
        <f>SUM($D$337:L337)-SUM($D$343:L343)</f>
        <v>0</v>
      </c>
      <c r="M355" s="210">
        <f>SUM($D$337:M337)-SUM($D$343:M343)</f>
        <v>0</v>
      </c>
      <c r="N355" s="210">
        <f>SUM($D$337:N337)-SUM($D$343:N343)</f>
        <v>0</v>
      </c>
      <c r="O355" s="210">
        <f>SUM($D$337:O337)-SUM($D$343:O343)</f>
        <v>0</v>
      </c>
      <c r="P355" s="210">
        <f>SUM($D$337:P337)-SUM($D$343:P343)</f>
        <v>0</v>
      </c>
      <c r="Q355" s="210">
        <f>SUM($D$337:Q337)-SUM($D$343:Q343)</f>
        <v>0</v>
      </c>
      <c r="R355" s="210">
        <f>SUM($D$337:R337)-SUM($D$343:R343)</f>
        <v>0</v>
      </c>
      <c r="S355" s="210">
        <f>SUM($D$337:S337)-SUM($D$343:S343)</f>
        <v>0</v>
      </c>
      <c r="T355" s="210">
        <f>SUM($D$337:T337)-SUM($D$343:T343)</f>
        <v>0</v>
      </c>
      <c r="U355" s="210">
        <f>SUM($D$337:U337)-SUM($D$343:U343)</f>
        <v>0</v>
      </c>
      <c r="V355" s="210">
        <f>SUM($D$337:V337)-SUM($D$343:V343)</f>
        <v>0</v>
      </c>
      <c r="W355" s="210">
        <f>SUM($D$337:W337)-SUM($D$343:W343)</f>
        <v>0</v>
      </c>
      <c r="X355" s="210">
        <f>SUM($D$337:X337)-SUM($D$343:X343)</f>
        <v>0</v>
      </c>
      <c r="Y355" s="210">
        <f>SUM($D$337:Y337)-SUM($D$343:Y343)</f>
        <v>0</v>
      </c>
      <c r="Z355" s="210">
        <f>SUM($D$337:Z337)-SUM($D$343:Z343)</f>
        <v>0</v>
      </c>
      <c r="AA355" s="210">
        <f>SUM($D$337:AA337)-SUM($D$343:AA343)</f>
        <v>0</v>
      </c>
      <c r="AB355" s="210">
        <f>SUM($D$337:AB337)-SUM($D$343:AB343)</f>
        <v>0</v>
      </c>
      <c r="AC355" s="210">
        <f>SUM($D$337:AC337)-SUM($D$343:AC343)</f>
        <v>0</v>
      </c>
      <c r="AD355" s="210">
        <f>SUM($D$337:AD337)-SUM($D$343:AD343)</f>
        <v>0</v>
      </c>
      <c r="AE355" s="210">
        <f>SUM($D$337:AE337)-SUM($D$343:AE343)</f>
        <v>0</v>
      </c>
      <c r="AF355" s="210">
        <f>SUM($D$337:AF337)-SUM($D$343:AF343)</f>
        <v>0</v>
      </c>
      <c r="AG355" s="210">
        <f>SUM($D$337:AG337)-SUM($D$343:AG343)</f>
        <v>0</v>
      </c>
      <c r="AH355" s="209"/>
      <c r="AJ355" s="286"/>
      <c r="AK355" s="286"/>
      <c r="AL355" s="286"/>
      <c r="AM355" s="286"/>
      <c r="AN355" s="286"/>
      <c r="AO355" s="286"/>
    </row>
    <row r="356" spans="2:41">
      <c r="B356" s="76" t="str">
        <f>B344</f>
        <v>Кредит 3</v>
      </c>
      <c r="C356" s="130" t="s">
        <v>93</v>
      </c>
      <c r="D356" s="210">
        <f>SUM($D$338:D338)-SUM($D$344:D344)</f>
        <v>0</v>
      </c>
      <c r="E356" s="210">
        <f>SUM($D$338:E338)-SUM($D$344:E344)</f>
        <v>0</v>
      </c>
      <c r="F356" s="210">
        <f>SUM($D$338:F338)-SUM($D$344:F344)</f>
        <v>0</v>
      </c>
      <c r="G356" s="210">
        <f>SUM($D$338:G338)-SUM($D$344:G344)</f>
        <v>0</v>
      </c>
      <c r="H356" s="210">
        <f>SUM($D$338:H338)-SUM($D$344:H344)</f>
        <v>0</v>
      </c>
      <c r="I356" s="210">
        <f>SUM($D$338:I338)-SUM($D$344:I344)</f>
        <v>0</v>
      </c>
      <c r="J356" s="210">
        <f>SUM($D$338:J338)-SUM($D$344:J344)</f>
        <v>0</v>
      </c>
      <c r="K356" s="210">
        <f>SUM($D$338:K338)-SUM($D$344:K344)</f>
        <v>0</v>
      </c>
      <c r="L356" s="210">
        <f>SUM($D$338:L338)-SUM($D$344:L344)</f>
        <v>0</v>
      </c>
      <c r="M356" s="210">
        <f>SUM($D$338:M338)-SUM($D$344:M344)</f>
        <v>0</v>
      </c>
      <c r="N356" s="210">
        <f>SUM($D$338:N338)-SUM($D$344:N344)</f>
        <v>0</v>
      </c>
      <c r="O356" s="210">
        <f>SUM($D$338:O338)-SUM($D$344:O344)</f>
        <v>0</v>
      </c>
      <c r="P356" s="210">
        <f>SUM($D$338:P338)-SUM($D$344:P344)</f>
        <v>0</v>
      </c>
      <c r="Q356" s="210">
        <f>SUM($D$338:Q338)-SUM($D$344:Q344)</f>
        <v>0</v>
      </c>
      <c r="R356" s="210">
        <f>SUM($D$338:R338)-SUM($D$344:R344)</f>
        <v>0</v>
      </c>
      <c r="S356" s="210">
        <f>SUM($D$338:S338)-SUM($D$344:S344)</f>
        <v>0</v>
      </c>
      <c r="T356" s="210">
        <f>SUM($D$338:T338)-SUM($D$344:T344)</f>
        <v>0</v>
      </c>
      <c r="U356" s="210">
        <f>SUM($D$338:U338)-SUM($D$344:U344)</f>
        <v>0</v>
      </c>
      <c r="V356" s="210">
        <f>SUM($D$338:V338)-SUM($D$344:V344)</f>
        <v>0</v>
      </c>
      <c r="W356" s="210">
        <f>SUM($D$338:W338)-SUM($D$344:W344)</f>
        <v>0</v>
      </c>
      <c r="X356" s="210">
        <f>SUM($D$338:X338)-SUM($D$344:X344)</f>
        <v>0</v>
      </c>
      <c r="Y356" s="210">
        <f>SUM($D$338:Y338)-SUM($D$344:Y344)</f>
        <v>0</v>
      </c>
      <c r="Z356" s="210">
        <f>SUM($D$338:Z338)-SUM($D$344:Z344)</f>
        <v>0</v>
      </c>
      <c r="AA356" s="210">
        <f>SUM($D$338:AA338)-SUM($D$344:AA344)</f>
        <v>0</v>
      </c>
      <c r="AB356" s="210">
        <f>SUM($D$338:AB338)-SUM($D$344:AB344)</f>
        <v>0</v>
      </c>
      <c r="AC356" s="210">
        <f>SUM($D$338:AC338)-SUM($D$344:AC344)</f>
        <v>0</v>
      </c>
      <c r="AD356" s="210">
        <f>SUM($D$338:AD338)-SUM($D$344:AD344)</f>
        <v>0</v>
      </c>
      <c r="AE356" s="210">
        <f>SUM($D$338:AE338)-SUM($D$344:AE344)</f>
        <v>0</v>
      </c>
      <c r="AF356" s="210">
        <f>SUM($D$338:AF338)-SUM($D$344:AF344)</f>
        <v>0</v>
      </c>
      <c r="AG356" s="210">
        <f>SUM($D$338:AG338)-SUM($D$344:AG344)</f>
        <v>0</v>
      </c>
      <c r="AH356" s="209"/>
      <c r="AJ356" s="286"/>
      <c r="AK356" s="286"/>
      <c r="AL356" s="286"/>
      <c r="AM356" s="286"/>
      <c r="AN356" s="286"/>
      <c r="AO356" s="286"/>
    </row>
    <row r="357" spans="2:41">
      <c r="B357" s="76" t="str">
        <f>B339</f>
        <v>Займ РФРП КО</v>
      </c>
      <c r="C357" s="130" t="s">
        <v>93</v>
      </c>
      <c r="D357" s="210">
        <f>SUM($D$339:D339)-SUM($D$345:D345)</f>
        <v>5000</v>
      </c>
      <c r="E357" s="210">
        <f>SUM($D$339:E339)-SUM($D$345:E345)</f>
        <v>5000</v>
      </c>
      <c r="F357" s="210">
        <f>SUM($D$339:F339)-SUM($D$345:F345)</f>
        <v>5000</v>
      </c>
      <c r="G357" s="210">
        <f>SUM($D$339:G339)-SUM($D$345:G345)</f>
        <v>5000</v>
      </c>
      <c r="H357" s="210">
        <f>SUM($D$339:H339)-SUM($D$345:H345)</f>
        <v>5000</v>
      </c>
      <c r="I357" s="210">
        <f>SUM($D$339:I339)-SUM($D$345:I345)</f>
        <v>5000</v>
      </c>
      <c r="J357" s="210">
        <f>SUM($D$339:J339)-SUM($D$345:J345)</f>
        <v>5000</v>
      </c>
      <c r="K357" s="210">
        <f>SUM($D$339:K339)-SUM($D$345:K345)</f>
        <v>5000</v>
      </c>
      <c r="L357" s="210">
        <f>SUM($D$339:L339)-SUM($D$345:L345)</f>
        <v>5000</v>
      </c>
      <c r="M357" s="210">
        <f>SUM($D$339:M339)-SUM($D$345:M345)</f>
        <v>5000</v>
      </c>
      <c r="N357" s="210">
        <f>SUM($D$339:N339)-SUM($D$345:N345)</f>
        <v>5000</v>
      </c>
      <c r="O357" s="210">
        <f>SUM($D$339:O339)-SUM($D$345:O345)</f>
        <v>5000</v>
      </c>
      <c r="P357" s="210">
        <f>SUM($D$339:P339)-SUM($D$345:P345)</f>
        <v>4375</v>
      </c>
      <c r="Q357" s="210">
        <f>SUM($D$339:Q339)-SUM($D$345:Q345)</f>
        <v>3750</v>
      </c>
      <c r="R357" s="210">
        <f>SUM($D$339:R339)-SUM($D$345:R345)</f>
        <v>3125</v>
      </c>
      <c r="S357" s="210">
        <f>SUM($D$339:S339)-SUM($D$345:S345)</f>
        <v>3125</v>
      </c>
      <c r="T357" s="210">
        <f>SUM($D$339:T339)-SUM($D$345:T345)</f>
        <v>1875</v>
      </c>
      <c r="U357" s="210">
        <f>SUM($D$339:U339)-SUM($D$345:U345)</f>
        <v>1250</v>
      </c>
      <c r="V357" s="210">
        <f>SUM($D$339:V339)-SUM($D$345:V345)</f>
        <v>625</v>
      </c>
      <c r="W357" s="210">
        <f>SUM($D$339:W339)-SUM($D$345:W345)</f>
        <v>625</v>
      </c>
      <c r="X357" s="210">
        <f>SUM($D$339:X339)-SUM($D$345:X345)</f>
        <v>0</v>
      </c>
      <c r="Y357" s="210">
        <f>SUM($D$339:Y339)-SUM($D$345:Y345)</f>
        <v>0</v>
      </c>
      <c r="Z357" s="210">
        <f>SUM($D$339:Z339)-SUM($D$345:Z345)</f>
        <v>0</v>
      </c>
      <c r="AA357" s="210">
        <f>SUM($D$339:AA339)-SUM($D$345:AA345)</f>
        <v>0</v>
      </c>
      <c r="AB357" s="210">
        <f>SUM($D$339:AB339)-SUM($D$345:AB345)</f>
        <v>0</v>
      </c>
      <c r="AC357" s="210">
        <f>SUM($D$339:AC339)-SUM($D$345:AC345)</f>
        <v>0</v>
      </c>
      <c r="AD357" s="210">
        <f>SUM($D$339:AD339)-SUM($D$345:AD345)</f>
        <v>0</v>
      </c>
      <c r="AE357" s="210">
        <f>SUM($D$339:AE339)-SUM($D$345:AE345)</f>
        <v>0</v>
      </c>
      <c r="AF357" s="210">
        <f>SUM($D$339:AF339)-SUM($D$345:AF345)</f>
        <v>0</v>
      </c>
      <c r="AG357" s="210">
        <f>SUM($D$339:AG339)-SUM($D$345:AG345)</f>
        <v>0</v>
      </c>
      <c r="AH357" s="209"/>
      <c r="AJ357" s="286"/>
      <c r="AK357" s="286"/>
      <c r="AL357" s="286"/>
      <c r="AM357" s="286"/>
      <c r="AN357" s="286"/>
      <c r="AO357" s="286"/>
    </row>
    <row r="358" spans="2:41" ht="23.25" customHeight="1">
      <c r="B358" s="62"/>
    </row>
    <row r="359" spans="2:41" ht="15.75">
      <c r="B359" s="62" t="s">
        <v>209</v>
      </c>
      <c r="C359" s="60"/>
      <c r="D359" s="60"/>
      <c r="E359" s="60"/>
      <c r="F359" s="60"/>
      <c r="G359" s="60"/>
    </row>
    <row r="360" spans="2:41" ht="42" customHeight="1">
      <c r="B360" s="81" t="s">
        <v>201</v>
      </c>
      <c r="C360" s="81" t="s">
        <v>202</v>
      </c>
      <c r="D360" s="81" t="s">
        <v>203</v>
      </c>
      <c r="E360" s="81" t="s">
        <v>71</v>
      </c>
      <c r="F360" s="81" t="s">
        <v>204</v>
      </c>
      <c r="G360" s="60"/>
      <c r="H360" s="36"/>
    </row>
    <row r="361" spans="2:41">
      <c r="B361" s="76" t="s">
        <v>200</v>
      </c>
      <c r="C361" s="130">
        <f>SUMIF($C$321:$C$325,B361,$D$321:$D$325)</f>
        <v>17072.773000000001</v>
      </c>
      <c r="D361" s="130">
        <f>SUMIF($C$321:$C$325,B361,$E$321:$E$325)</f>
        <v>0</v>
      </c>
      <c r="E361" s="194">
        <f>SUM(C361:D361)</f>
        <v>17072.773000000001</v>
      </c>
      <c r="F361" s="195">
        <f>E361/$E$365</f>
        <v>0.7734765813067529</v>
      </c>
      <c r="G361" s="129"/>
    </row>
    <row r="362" spans="2:41">
      <c r="B362" s="76" t="s">
        <v>205</v>
      </c>
      <c r="C362" s="130">
        <f>SUMIF($C$321:$C$325,B362,$D$321:$D$325)</f>
        <v>0</v>
      </c>
      <c r="D362" s="130">
        <f>SUMIF($C$321:$C$325,B362,$E$321:$E$325)</f>
        <v>0</v>
      </c>
      <c r="E362" s="194">
        <f t="shared" ref="E362:E364" si="211">SUM(C362:D362)</f>
        <v>0</v>
      </c>
      <c r="F362" s="195">
        <f>E362/$E$365</f>
        <v>0</v>
      </c>
      <c r="G362" s="60"/>
    </row>
    <row r="363" spans="2:41">
      <c r="B363" s="76" t="s">
        <v>206</v>
      </c>
      <c r="C363" s="130">
        <f>SUMIF($C$321:$C$325,B363,$D$321:$D$325)</f>
        <v>0</v>
      </c>
      <c r="D363" s="130">
        <f>SUMIF($C$321:$C$325,B363,$E$321:$E$325)</f>
        <v>0</v>
      </c>
      <c r="E363" s="194">
        <f t="shared" si="211"/>
        <v>0</v>
      </c>
      <c r="F363" s="195">
        <f>E363/$E$365</f>
        <v>0</v>
      </c>
      <c r="G363" s="60"/>
    </row>
    <row r="364" spans="2:41">
      <c r="B364" s="76" t="s">
        <v>208</v>
      </c>
      <c r="C364" s="130"/>
      <c r="D364" s="130">
        <f>'Параметры займа'!F14</f>
        <v>5000</v>
      </c>
      <c r="E364" s="194">
        <f t="shared" si="211"/>
        <v>5000</v>
      </c>
      <c r="F364" s="195">
        <f>E364/$E$365</f>
        <v>0.2265234186932471</v>
      </c>
      <c r="G364" s="60"/>
    </row>
    <row r="365" spans="2:41">
      <c r="B365" s="196" t="s">
        <v>71</v>
      </c>
      <c r="C365" s="194">
        <f>SUM(C361:C364)</f>
        <v>17072.773000000001</v>
      </c>
      <c r="D365" s="194">
        <f>SUM(D361:D364)</f>
        <v>5000</v>
      </c>
      <c r="E365" s="194">
        <f>SUM(E361:E364)</f>
        <v>22072.773000000001</v>
      </c>
      <c r="F365" s="195">
        <f>SUM(F361:F364)</f>
        <v>1</v>
      </c>
      <c r="G365" s="60"/>
    </row>
    <row r="366" spans="2:41">
      <c r="B366" s="60"/>
      <c r="C366" s="60"/>
      <c r="D366" s="60"/>
      <c r="E366" s="60"/>
      <c r="F366" s="60"/>
      <c r="G366" s="60"/>
    </row>
    <row r="367" spans="2:41" ht="15.75">
      <c r="B367" s="62" t="s">
        <v>454</v>
      </c>
      <c r="C367" s="60"/>
      <c r="D367" s="60"/>
      <c r="E367" s="60"/>
      <c r="F367" s="60"/>
      <c r="G367" s="60"/>
    </row>
    <row r="368" spans="2:41" ht="30">
      <c r="B368" s="81" t="str">
        <f>B360</f>
        <v>Источник</v>
      </c>
      <c r="C368" s="81" t="str">
        <f t="shared" ref="C368:E368" si="212">C360</f>
        <v>Ранее привлечено</v>
      </c>
      <c r="D368" s="81" t="str">
        <f t="shared" si="212"/>
        <v>Планируется к привлечению</v>
      </c>
      <c r="E368" s="81" t="str">
        <f t="shared" si="212"/>
        <v>Итого</v>
      </c>
      <c r="F368" s="60"/>
      <c r="G368" s="60"/>
    </row>
    <row r="369" spans="1:15">
      <c r="B369" s="76" t="str">
        <f>справочник!A84</f>
        <v>Кредит оборотный</v>
      </c>
      <c r="C369" s="130">
        <f>SUMIF($C$321:$C$325,B369,$D$321:$D$325)</f>
        <v>0</v>
      </c>
      <c r="D369" s="130">
        <f>SUMIF($C$321:$C$325,B369,$E$321:$E$325)</f>
        <v>0</v>
      </c>
      <c r="E369" s="194">
        <f>SUM(C369:D369)</f>
        <v>0</v>
      </c>
      <c r="F369" s="60"/>
      <c r="G369" s="60"/>
    </row>
    <row r="370" spans="1:15">
      <c r="B370" s="60"/>
      <c r="C370" s="60"/>
      <c r="D370" s="60"/>
      <c r="E370" s="60"/>
      <c r="F370" s="60"/>
      <c r="G370" s="60"/>
    </row>
    <row r="371" spans="1:15" ht="18" customHeight="1">
      <c r="B371" s="349" t="s">
        <v>207</v>
      </c>
      <c r="C371" s="350"/>
      <c r="D371" s="350"/>
      <c r="E371" s="351"/>
      <c r="F371" s="177" t="str">
        <f>IF(C365=C93,"R","Q")</f>
        <v>R</v>
      </c>
      <c r="G371" s="60"/>
    </row>
    <row r="372" spans="1:15" ht="18" customHeight="1">
      <c r="B372" s="349" t="s">
        <v>362</v>
      </c>
      <c r="C372" s="350"/>
      <c r="D372" s="350"/>
      <c r="E372" s="351"/>
      <c r="F372" s="31" t="str">
        <f>IF(N322&gt;=Дата_погашения_Займа,"R","Q")</f>
        <v>R</v>
      </c>
    </row>
    <row r="373" spans="1:15" ht="18" customHeight="1">
      <c r="B373" s="349" t="s">
        <v>368</v>
      </c>
      <c r="C373" s="350"/>
      <c r="D373" s="350"/>
      <c r="E373" s="351"/>
      <c r="F373" s="31" t="str">
        <f>IF(AH340=AH333-AH334,"R","Q")</f>
        <v>R</v>
      </c>
    </row>
    <row r="375" spans="1:15" ht="21">
      <c r="B375" s="145" t="s">
        <v>215</v>
      </c>
      <c r="C375" s="132">
        <v>0.18</v>
      </c>
    </row>
    <row r="377" spans="1:15" ht="21">
      <c r="B377" s="61" t="s">
        <v>216</v>
      </c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</row>
    <row r="378" spans="1:15" ht="15.75">
      <c r="B378" s="62" t="s">
        <v>217</v>
      </c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</row>
    <row r="379" spans="1:15">
      <c r="B379" s="96" t="s">
        <v>19</v>
      </c>
      <c r="C379" s="97">
        <f t="shared" ref="C379:K379" si="213">C315</f>
        <v>2026</v>
      </c>
      <c r="D379" s="97">
        <f t="shared" si="213"/>
        <v>2027</v>
      </c>
      <c r="E379" s="97">
        <f t="shared" si="213"/>
        <v>2028</v>
      </c>
      <c r="F379" s="97">
        <f t="shared" si="213"/>
        <v>2029</v>
      </c>
      <c r="G379" s="97">
        <f t="shared" si="213"/>
        <v>2030</v>
      </c>
      <c r="H379" s="97">
        <f t="shared" si="213"/>
        <v>2031</v>
      </c>
      <c r="I379" s="97">
        <f t="shared" si="213"/>
        <v>2032</v>
      </c>
      <c r="J379" s="97">
        <f t="shared" si="213"/>
        <v>2033</v>
      </c>
      <c r="K379" s="97">
        <f t="shared" si="213"/>
        <v>2034</v>
      </c>
    </row>
    <row r="380" spans="1:15" outlineLevel="1">
      <c r="B380" s="280">
        <v>2</v>
      </c>
      <c r="C380" s="281">
        <f>B380+1</f>
        <v>3</v>
      </c>
      <c r="D380" s="281">
        <f t="shared" ref="D380:K380" si="214">C380+1</f>
        <v>4</v>
      </c>
      <c r="E380" s="281">
        <f t="shared" si="214"/>
        <v>5</v>
      </c>
      <c r="F380" s="281">
        <f t="shared" si="214"/>
        <v>6</v>
      </c>
      <c r="G380" s="281">
        <f t="shared" si="214"/>
        <v>7</v>
      </c>
      <c r="H380" s="281">
        <f t="shared" si="214"/>
        <v>8</v>
      </c>
      <c r="I380" s="281">
        <f t="shared" si="214"/>
        <v>9</v>
      </c>
      <c r="J380" s="281">
        <f t="shared" si="214"/>
        <v>10</v>
      </c>
      <c r="K380" s="281">
        <f t="shared" si="214"/>
        <v>11</v>
      </c>
    </row>
    <row r="381" spans="1:15">
      <c r="A381" s="44">
        <v>1</v>
      </c>
      <c r="B381" s="104" t="s">
        <v>218</v>
      </c>
      <c r="C381" s="132"/>
      <c r="D381" s="132">
        <v>5.5E-2</v>
      </c>
      <c r="E381" s="132">
        <v>4.2999999999999997E-2</v>
      </c>
      <c r="F381" s="132">
        <v>4.2999999999999997E-2</v>
      </c>
      <c r="G381" s="132">
        <v>4.2999999999999997E-2</v>
      </c>
      <c r="H381" s="132">
        <v>4.2999999999999997E-2</v>
      </c>
      <c r="I381" s="132">
        <v>4.2999999999999997E-2</v>
      </c>
      <c r="J381" s="132">
        <v>4.2999999999999997E-2</v>
      </c>
      <c r="K381" s="132">
        <v>4.2999999999999997E-2</v>
      </c>
    </row>
    <row r="382" spans="1:15">
      <c r="A382" s="44">
        <v>2</v>
      </c>
      <c r="B382" s="104" t="s">
        <v>219</v>
      </c>
      <c r="C382" s="132"/>
      <c r="D382" s="132">
        <v>5.5E-2</v>
      </c>
      <c r="E382" s="132">
        <v>4.2999999999999997E-2</v>
      </c>
      <c r="F382" s="132">
        <v>4.2999999999999997E-2</v>
      </c>
      <c r="G382" s="132">
        <v>4.2999999999999997E-2</v>
      </c>
      <c r="H382" s="132">
        <v>4.2999999999999997E-2</v>
      </c>
      <c r="I382" s="132">
        <v>4.2999999999999997E-2</v>
      </c>
      <c r="J382" s="132">
        <v>4.2999999999999997E-2</v>
      </c>
      <c r="K382" s="132">
        <v>4.2999999999999997E-2</v>
      </c>
    </row>
    <row r="383" spans="1:15">
      <c r="A383" s="44">
        <v>3</v>
      </c>
      <c r="B383" s="104" t="s">
        <v>220</v>
      </c>
      <c r="C383" s="132"/>
      <c r="D383" s="132">
        <v>5.5E-2</v>
      </c>
      <c r="E383" s="132">
        <v>4.2999999999999997E-2</v>
      </c>
      <c r="F383" s="132">
        <v>4.2999999999999997E-2</v>
      </c>
      <c r="G383" s="132">
        <v>4.2999999999999997E-2</v>
      </c>
      <c r="H383" s="132">
        <v>4.2999999999999997E-2</v>
      </c>
      <c r="I383" s="132">
        <v>4.2999999999999997E-2</v>
      </c>
      <c r="J383" s="132">
        <v>4.2999999999999997E-2</v>
      </c>
      <c r="K383" s="132">
        <v>4.2999999999999997E-2</v>
      </c>
    </row>
    <row r="384" spans="1:15">
      <c r="A384" s="44">
        <v>4</v>
      </c>
      <c r="B384" s="104" t="s">
        <v>221</v>
      </c>
      <c r="C384" s="132"/>
      <c r="D384" s="132">
        <v>0.08</v>
      </c>
      <c r="E384" s="132">
        <v>6.8000000000000005E-2</v>
      </c>
      <c r="F384" s="132">
        <v>6.8000000000000005E-2</v>
      </c>
      <c r="G384" s="132">
        <v>6.8000000000000005E-2</v>
      </c>
      <c r="H384" s="132">
        <v>6.8000000000000005E-2</v>
      </c>
      <c r="I384" s="132">
        <v>6.8000000000000005E-2</v>
      </c>
      <c r="J384" s="132">
        <v>6.8000000000000005E-2</v>
      </c>
      <c r="K384" s="132">
        <v>6.8000000000000005E-2</v>
      </c>
    </row>
    <row r="386" spans="2:6" ht="21">
      <c r="B386" s="61" t="s">
        <v>222</v>
      </c>
      <c r="C386" s="60"/>
      <c r="D386" s="60"/>
      <c r="E386" s="60"/>
      <c r="F386" s="60"/>
    </row>
    <row r="387" spans="2:6">
      <c r="B387" s="136" t="s">
        <v>485</v>
      </c>
      <c r="C387" s="60"/>
      <c r="D387" s="60"/>
      <c r="E387" s="60"/>
      <c r="F387" s="60"/>
    </row>
    <row r="388" spans="2:6">
      <c r="B388" s="359" t="s">
        <v>91</v>
      </c>
      <c r="C388" s="97">
        <v>1</v>
      </c>
      <c r="D388" s="97">
        <v>2</v>
      </c>
      <c r="E388" s="97">
        <v>3</v>
      </c>
      <c r="F388" s="97">
        <v>4</v>
      </c>
    </row>
    <row r="389" spans="2:6">
      <c r="B389" s="359"/>
      <c r="C389" s="133">
        <f>DATE(YEAR(D389),MONTH(D389)-3,DAY(D389))</f>
        <v>45658</v>
      </c>
      <c r="D389" s="133">
        <f>DATE(YEAR(E389),MONTH(E389)-3,DAY(E389))</f>
        <v>45748</v>
      </c>
      <c r="E389" s="133">
        <f>DATE(YEAR(F389),MONTH(F389)-3,DAY(F389))</f>
        <v>45839</v>
      </c>
      <c r="F389" s="133">
        <f>DATE(YEAR(E294),MONTH(E294)-3,DAY(E294))</f>
        <v>45931</v>
      </c>
    </row>
    <row r="390" spans="2:6">
      <c r="B390" s="359"/>
      <c r="C390" s="133">
        <f t="shared" ref="C390" si="215">DATE(YEAR(C389),MONTH(C389)+3,DAY(C389)-1)</f>
        <v>45747</v>
      </c>
      <c r="D390" s="133">
        <f>DATE(YEAR(D389),MONTH(D389)+3,DAY(D389)-1)</f>
        <v>45838</v>
      </c>
      <c r="E390" s="133">
        <f>DATE(YEAR(E389),MONTH(E389)+3,DAY(E389)-1)</f>
        <v>45930</v>
      </c>
      <c r="F390" s="133">
        <f>DATE(YEAR(E294),MONTH(E294),DAY(E294)-1)</f>
        <v>46022</v>
      </c>
    </row>
    <row r="391" spans="2:6">
      <c r="B391" s="105" t="s">
        <v>65</v>
      </c>
      <c r="C391" s="198"/>
      <c r="D391" s="198"/>
      <c r="E391" s="198"/>
      <c r="F391" s="198"/>
    </row>
    <row r="392" spans="2:6">
      <c r="B392" s="105" t="s">
        <v>66</v>
      </c>
      <c r="C392" s="198"/>
      <c r="D392" s="198"/>
      <c r="E392" s="198"/>
      <c r="F392" s="198"/>
    </row>
    <row r="393" spans="2:6">
      <c r="B393" s="105" t="s">
        <v>223</v>
      </c>
      <c r="C393" s="198"/>
      <c r="D393" s="198"/>
      <c r="E393" s="198"/>
      <c r="F393" s="198"/>
    </row>
    <row r="394" spans="2:6">
      <c r="B394" s="134" t="s">
        <v>224</v>
      </c>
      <c r="C394" s="135">
        <f>SUM(C391:C393)</f>
        <v>0</v>
      </c>
      <c r="D394" s="135">
        <f t="shared" ref="D394:F394" si="216">SUM(D391:D393)</f>
        <v>0</v>
      </c>
      <c r="E394" s="135">
        <f t="shared" si="216"/>
        <v>0</v>
      </c>
      <c r="F394" s="135">
        <f t="shared" si="216"/>
        <v>0</v>
      </c>
    </row>
    <row r="395" spans="2:6">
      <c r="B395" s="60"/>
      <c r="C395" s="60"/>
      <c r="D395" s="60"/>
      <c r="E395" s="60"/>
      <c r="F395" s="60"/>
    </row>
    <row r="396" spans="2:6">
      <c r="B396" s="136" t="s">
        <v>486</v>
      </c>
      <c r="C396" s="60"/>
      <c r="D396" s="60"/>
      <c r="E396" s="60"/>
      <c r="F396" s="60"/>
    </row>
    <row r="397" spans="2:6">
      <c r="B397" s="359" t="s">
        <v>91</v>
      </c>
      <c r="C397" s="97">
        <v>1</v>
      </c>
      <c r="D397" s="97">
        <v>2</v>
      </c>
      <c r="E397" s="97">
        <v>3</v>
      </c>
      <c r="F397" s="97">
        <v>4</v>
      </c>
    </row>
    <row r="398" spans="2:6">
      <c r="B398" s="359"/>
      <c r="C398" s="133">
        <f>C389</f>
        <v>45658</v>
      </c>
      <c r="D398" s="133">
        <f t="shared" ref="D398:F398" si="217">D389</f>
        <v>45748</v>
      </c>
      <c r="E398" s="133">
        <f t="shared" si="217"/>
        <v>45839</v>
      </c>
      <c r="F398" s="133">
        <f t="shared" si="217"/>
        <v>45931</v>
      </c>
    </row>
    <row r="399" spans="2:6">
      <c r="B399" s="359"/>
      <c r="C399" s="133">
        <f>C390</f>
        <v>45747</v>
      </c>
      <c r="D399" s="133">
        <f t="shared" ref="D399:F399" si="218">D390</f>
        <v>45838</v>
      </c>
      <c r="E399" s="133">
        <f t="shared" si="218"/>
        <v>45930</v>
      </c>
      <c r="F399" s="133">
        <f t="shared" si="218"/>
        <v>46022</v>
      </c>
    </row>
    <row r="400" spans="2:6">
      <c r="B400" s="105" t="s">
        <v>65</v>
      </c>
      <c r="C400" s="312">
        <f>C391</f>
        <v>0</v>
      </c>
      <c r="D400" s="312">
        <f t="shared" ref="D400:F400" si="219">D391</f>
        <v>0</v>
      </c>
      <c r="E400" s="312">
        <f t="shared" si="219"/>
        <v>0</v>
      </c>
      <c r="F400" s="312">
        <f t="shared" si="219"/>
        <v>0</v>
      </c>
    </row>
    <row r="401" spans="2:6">
      <c r="B401" s="106" t="s">
        <v>66</v>
      </c>
      <c r="C401" s="312">
        <f>C392</f>
        <v>0</v>
      </c>
      <c r="D401" s="312">
        <f t="shared" ref="D401:F402" si="220">D392</f>
        <v>0</v>
      </c>
      <c r="E401" s="312">
        <f t="shared" si="220"/>
        <v>0</v>
      </c>
      <c r="F401" s="312">
        <f t="shared" si="220"/>
        <v>0</v>
      </c>
    </row>
    <row r="402" spans="2:6">
      <c r="B402" s="105" t="s">
        <v>70</v>
      </c>
      <c r="C402" s="312">
        <f>C393</f>
        <v>0</v>
      </c>
      <c r="D402" s="312">
        <f t="shared" si="220"/>
        <v>0</v>
      </c>
      <c r="E402" s="312">
        <f t="shared" si="220"/>
        <v>0</v>
      </c>
      <c r="F402" s="312">
        <f t="shared" si="220"/>
        <v>0</v>
      </c>
    </row>
    <row r="403" spans="2:6">
      <c r="B403" s="106" t="s">
        <v>67</v>
      </c>
      <c r="C403" s="198"/>
      <c r="D403" s="198"/>
      <c r="E403" s="198"/>
      <c r="F403" s="198"/>
    </row>
    <row r="404" spans="2:6">
      <c r="B404" s="106" t="s">
        <v>225</v>
      </c>
      <c r="C404" s="198"/>
      <c r="D404" s="198"/>
      <c r="E404" s="198"/>
      <c r="F404" s="198"/>
    </row>
    <row r="405" spans="2:6">
      <c r="B405" s="134" t="s">
        <v>69</v>
      </c>
      <c r="C405" s="135">
        <f>SUM(C400:C404)</f>
        <v>0</v>
      </c>
      <c r="D405" s="135">
        <f t="shared" ref="D405:F405" si="221">SUM(D400:D404)</f>
        <v>0</v>
      </c>
      <c r="E405" s="135">
        <f t="shared" si="221"/>
        <v>0</v>
      </c>
      <c r="F405" s="135">
        <f t="shared" si="221"/>
        <v>0</v>
      </c>
    </row>
    <row r="406" spans="2:6">
      <c r="B406" s="106" t="s">
        <v>226</v>
      </c>
      <c r="C406" s="198"/>
      <c r="D406" s="198"/>
      <c r="E406" s="198"/>
      <c r="F406" s="198"/>
    </row>
    <row r="407" spans="2:6">
      <c r="B407" s="105" t="s">
        <v>227</v>
      </c>
      <c r="C407" s="198"/>
      <c r="D407" s="198"/>
      <c r="E407" s="198"/>
      <c r="F407" s="198"/>
    </row>
    <row r="408" spans="2:6">
      <c r="B408" s="134" t="s">
        <v>90</v>
      </c>
      <c r="C408" s="135">
        <f>IF(SUM(C406:C407)=0,0,C405/-SUM(C406:C407))</f>
        <v>0</v>
      </c>
      <c r="D408" s="135">
        <f t="shared" ref="D408:F408" si="222">IF(SUM(D406:D407)=0,0,D405/-SUM(D406:D407))</f>
        <v>0</v>
      </c>
      <c r="E408" s="135">
        <f t="shared" si="222"/>
        <v>0</v>
      </c>
      <c r="F408" s="135">
        <f t="shared" si="222"/>
        <v>0</v>
      </c>
    </row>
  </sheetData>
  <sheetProtection algorithmName="SHA-512" hashValue="dtfH61U6CthxzVdA57kcA4G/iwLppEB2Qimy2/2fod2y9UszuSY4MBoJmqqwbO1L+W3qt0CERsbA1iB+ZZpUTA==" saltValue="AWoXeTvOQxbze13jTAHvgA==" spinCount="100000" sheet="1" objects="1" scenarios="1"/>
  <mergeCells count="76">
    <mergeCell ref="B271:B274"/>
    <mergeCell ref="C271:C274"/>
    <mergeCell ref="B373:E373"/>
    <mergeCell ref="B372:E372"/>
    <mergeCell ref="B397:B399"/>
    <mergeCell ref="B388:B390"/>
    <mergeCell ref="B293:B296"/>
    <mergeCell ref="C293:C296"/>
    <mergeCell ref="D293:D296"/>
    <mergeCell ref="B328:B331"/>
    <mergeCell ref="C328:C331"/>
    <mergeCell ref="B371:E371"/>
    <mergeCell ref="L52:L55"/>
    <mergeCell ref="I52:I55"/>
    <mergeCell ref="K52:K55"/>
    <mergeCell ref="B212:B216"/>
    <mergeCell ref="D271:D274"/>
    <mergeCell ref="E271:E274"/>
    <mergeCell ref="F271:F274"/>
    <mergeCell ref="B83:B84"/>
    <mergeCell ref="C83:C84"/>
    <mergeCell ref="D83:E83"/>
    <mergeCell ref="F83:F84"/>
    <mergeCell ref="J52:J55"/>
    <mergeCell ref="G83:G84"/>
    <mergeCell ref="E76:G76"/>
    <mergeCell ref="B183:B186"/>
    <mergeCell ref="C183:C186"/>
    <mergeCell ref="C17:G17"/>
    <mergeCell ref="B128:B131"/>
    <mergeCell ref="C128:C131"/>
    <mergeCell ref="B154:B157"/>
    <mergeCell ref="C154:C157"/>
    <mergeCell ref="E56:G56"/>
    <mergeCell ref="B52:B55"/>
    <mergeCell ref="C52:C55"/>
    <mergeCell ref="E52:G55"/>
    <mergeCell ref="E78:G78"/>
    <mergeCell ref="E71:G71"/>
    <mergeCell ref="E72:G72"/>
    <mergeCell ref="E73:G73"/>
    <mergeCell ref="E70:G70"/>
    <mergeCell ref="E64:G64"/>
    <mergeCell ref="E75:G75"/>
    <mergeCell ref="C13:G13"/>
    <mergeCell ref="C14:G14"/>
    <mergeCell ref="C15:G15"/>
    <mergeCell ref="C16:G16"/>
    <mergeCell ref="E74:G74"/>
    <mergeCell ref="E67:G67"/>
    <mergeCell ref="E68:G68"/>
    <mergeCell ref="E63:G63"/>
    <mergeCell ref="E65:G65"/>
    <mergeCell ref="E66:G66"/>
    <mergeCell ref="E69:G69"/>
    <mergeCell ref="E62:G62"/>
    <mergeCell ref="E57:G57"/>
    <mergeCell ref="E58:G58"/>
    <mergeCell ref="E59:G59"/>
    <mergeCell ref="E60:G60"/>
    <mergeCell ref="AH328:AH331"/>
    <mergeCell ref="C18:G18"/>
    <mergeCell ref="B239:B242"/>
    <mergeCell ref="C239:C242"/>
    <mergeCell ref="E77:G77"/>
    <mergeCell ref="B97:E97"/>
    <mergeCell ref="C95:D95"/>
    <mergeCell ref="N52:N55"/>
    <mergeCell ref="E61:G61"/>
    <mergeCell ref="H52:H55"/>
    <mergeCell ref="L212:L216"/>
    <mergeCell ref="M212:M216"/>
    <mergeCell ref="B98:E98"/>
    <mergeCell ref="B99:E99"/>
    <mergeCell ref="B100:E100"/>
    <mergeCell ref="B101:E101"/>
  </mergeCells>
  <phoneticPr fontId="38" type="noConversion"/>
  <conditionalFormatting sqref="B158:AG160">
    <cfRule type="cellIs" dxfId="22" priority="1" operator="equal">
      <formula>1</formula>
    </cfRule>
  </conditionalFormatting>
  <conditionalFormatting sqref="F97:F101">
    <cfRule type="cellIs" dxfId="21" priority="7" operator="equal">
      <formula>"Q"</formula>
    </cfRule>
    <cfRule type="cellIs" dxfId="20" priority="8" operator="equal">
      <formula>"R"</formula>
    </cfRule>
  </conditionalFormatting>
  <conditionalFormatting sqref="F371:F373">
    <cfRule type="cellIs" dxfId="19" priority="3" operator="equal">
      <formula>"Q"</formula>
    </cfRule>
    <cfRule type="cellIs" dxfId="18" priority="4" operator="equal">
      <formula>"R"</formula>
    </cfRule>
  </conditionalFormatting>
  <dataValidations count="4">
    <dataValidation type="list" allowBlank="1" showInputMessage="1" showErrorMessage="1" sqref="C275:C284 C297:C307" xr:uid="{00000000-0002-0000-0500-000000000000}">
      <formula1>затраты</formula1>
    </dataValidation>
    <dataValidation type="list" allowBlank="1" showInputMessage="1" showErrorMessage="1" sqref="C23:C42" xr:uid="{00000000-0002-0000-0500-000001000000}">
      <formula1>направления</formula1>
    </dataValidation>
    <dataValidation type="list" allowBlank="1" showInputMessage="1" showErrorMessage="1" sqref="E46 E48 F23:F42" xr:uid="{00000000-0002-0000-0500-000002000000}">
      <formula1>Ставки_НДС</formula1>
    </dataValidation>
    <dataValidation type="list" allowBlank="1" showInputMessage="1" showErrorMessage="1" sqref="G23:H42" xr:uid="{00000000-0002-0000-0500-000003000000}">
      <formula1>$G$14:$AJ$14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500-000004000000}">
          <x14:formula1>
            <xm:f>справочник!$A$16:$A$17</xm:f>
          </x14:formula1>
          <xm:sqref>C15:G15 D48 D275:D284 J23:J42 F106:F125 F275:F284 D46 E23:E42</xm:sqref>
        </x14:dataValidation>
        <x14:dataValidation type="list" allowBlank="1" showInputMessage="1" showErrorMessage="1" xr:uid="{00000000-0002-0000-0500-000005000000}">
          <x14:formula1>
            <xm:f>справочник!$A$28:$A$36</xm:f>
          </x14:formula1>
          <xm:sqref>C16:G16</xm:sqref>
        </x14:dataValidation>
        <x14:dataValidation type="list" allowBlank="1" showInputMessage="1" showErrorMessage="1" xr:uid="{00000000-0002-0000-0500-000006000000}">
          <x14:formula1>
            <xm:f>справочник!$A$20:$A$24</xm:f>
          </x14:formula1>
          <xm:sqref>D216:K216 E275:E284</xm:sqref>
        </x14:dataValidation>
        <x14:dataValidation type="list" allowBlank="1" showInputMessage="1" showErrorMessage="1" xr:uid="{00000000-0002-0000-0500-000007000000}">
          <x14:formula1>
            <xm:f>справочник!$A$53:$A$58</xm:f>
          </x14:formula1>
          <xm:sqref>D23:D42</xm:sqref>
        </x14:dataValidation>
        <x14:dataValidation type="list" allowBlank="1" showInputMessage="1" showErrorMessage="1" xr:uid="{00000000-0002-0000-0500-000008000000}">
          <x14:formula1>
            <xm:f>справочник!$A$49:$A$50</xm:f>
          </x14:formula1>
          <xm:sqref>I322:I325</xm:sqref>
        </x14:dataValidation>
        <x14:dataValidation type="list" allowBlank="1" showInputMessage="1" showErrorMessage="1" xr:uid="{00000000-0002-0000-0500-000009000000}">
          <x14:formula1>
            <xm:f>'Квартальная отчетность'!$L$14:$AO$14</xm:f>
          </x14:formula1>
          <xm:sqref>C18:G18</xm:sqref>
        </x14:dataValidation>
        <x14:dataValidation type="list" allowBlank="1" showInputMessage="1" showErrorMessage="1" xr:uid="{00000000-0002-0000-0500-00000A000000}">
          <x14:formula1>
            <xm:f>справочник!$A$80:$A$84</xm:f>
          </x14:formula1>
          <xm:sqref>C321:C325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79998168889431442"/>
  </sheetPr>
  <dimension ref="B5:AT313"/>
  <sheetViews>
    <sheetView zoomScale="70" zoomScaleNormal="70" workbookViewId="0">
      <pane xSplit="11" ySplit="17" topLeftCell="L36" activePane="bottomRight" state="frozen"/>
      <selection pane="topRight" activeCell="F1" sqref="F1"/>
      <selection pane="bottomLeft" activeCell="A12" sqref="A12"/>
      <selection pane="bottomRight" activeCell="J60" sqref="J60"/>
    </sheetView>
  </sheetViews>
  <sheetFormatPr defaultColWidth="9.140625" defaultRowHeight="15" outlineLevelRow="1" outlineLevelCol="1"/>
  <cols>
    <col min="1" max="1" width="9.140625" style="1"/>
    <col min="2" max="5" width="9.140625" style="1" hidden="1" customWidth="1" outlineLevel="1"/>
    <col min="6" max="7" width="12.28515625" style="1" hidden="1" customWidth="1" outlineLevel="1"/>
    <col min="8" max="8" width="55.5703125" style="1" customWidth="1" collapsed="1"/>
    <col min="9" max="9" width="13.42578125" style="1" customWidth="1"/>
    <col min="10" max="16" width="12.42578125" style="1" customWidth="1"/>
    <col min="17" max="17" width="13.7109375" style="1" customWidth="1"/>
    <col min="18" max="41" width="12.42578125" style="1" customWidth="1"/>
    <col min="42" max="16384" width="9.140625" style="1"/>
  </cols>
  <sheetData>
    <row r="5" spans="8:46"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</row>
    <row r="6" spans="8:46"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</row>
    <row r="7" spans="8:46"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</row>
    <row r="8" spans="8:46">
      <c r="H8" s="60"/>
      <c r="I8" s="60"/>
      <c r="J8" s="60"/>
      <c r="K8" s="60"/>
      <c r="L8" s="365" t="s">
        <v>228</v>
      </c>
      <c r="M8" s="366"/>
      <c r="N8" s="366"/>
      <c r="O8" s="367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</row>
    <row r="9" spans="8:46" ht="40.5" customHeight="1">
      <c r="H9" s="110" t="s">
        <v>61</v>
      </c>
      <c r="I9" s="60"/>
      <c r="J9" s="110"/>
      <c r="K9" s="110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</row>
    <row r="10" spans="8:46" ht="40.5" customHeight="1">
      <c r="H10" s="364" t="s">
        <v>62</v>
      </c>
      <c r="I10" s="364" t="s">
        <v>63</v>
      </c>
      <c r="J10" s="364" t="s">
        <v>279</v>
      </c>
      <c r="K10" s="364" t="s">
        <v>280</v>
      </c>
      <c r="L10" s="138">
        <f>Предпосылки!O52</f>
        <v>1</v>
      </c>
      <c r="M10" s="138">
        <f>Предпосылки!P52</f>
        <v>2</v>
      </c>
      <c r="N10" s="138">
        <f>Предпосылки!Q52</f>
        <v>3</v>
      </c>
      <c r="O10" s="138">
        <f>Предпосылки!R52</f>
        <v>4</v>
      </c>
      <c r="P10" s="138">
        <f>Предпосылки!S52</f>
        <v>5</v>
      </c>
      <c r="Q10" s="138">
        <f>Предпосылки!T52</f>
        <v>6</v>
      </c>
      <c r="R10" s="138">
        <f>Предпосылки!U52</f>
        <v>7</v>
      </c>
      <c r="S10" s="138">
        <f>Предпосылки!V52</f>
        <v>8</v>
      </c>
      <c r="T10" s="138">
        <f>Предпосылки!W52</f>
        <v>9</v>
      </c>
      <c r="U10" s="138">
        <f>Предпосылки!X52</f>
        <v>10</v>
      </c>
      <c r="V10" s="138">
        <f>Предпосылки!Y52</f>
        <v>11</v>
      </c>
      <c r="W10" s="138">
        <f>Предпосылки!Z52</f>
        <v>12</v>
      </c>
      <c r="X10" s="138">
        <f>Предпосылки!AA52</f>
        <v>13</v>
      </c>
      <c r="Y10" s="138">
        <f>Предпосылки!AB52</f>
        <v>14</v>
      </c>
      <c r="Z10" s="138">
        <f>Предпосылки!AC52</f>
        <v>15</v>
      </c>
      <c r="AA10" s="138">
        <f>Предпосылки!AD52</f>
        <v>16</v>
      </c>
      <c r="AB10" s="138">
        <f>Предпосылки!AE52</f>
        <v>17</v>
      </c>
      <c r="AC10" s="138">
        <f>Предпосылки!AF52</f>
        <v>18</v>
      </c>
      <c r="AD10" s="138">
        <f>Предпосылки!AG52</f>
        <v>19</v>
      </c>
      <c r="AE10" s="138">
        <f>Предпосылки!AH52</f>
        <v>20</v>
      </c>
      <c r="AF10" s="138">
        <f>Предпосылки!AI52</f>
        <v>21</v>
      </c>
      <c r="AG10" s="138">
        <f>Предпосылки!AJ52</f>
        <v>22</v>
      </c>
      <c r="AH10" s="138">
        <f>Предпосылки!AK52</f>
        <v>23</v>
      </c>
      <c r="AI10" s="138">
        <f>Предпосылки!AL52</f>
        <v>24</v>
      </c>
      <c r="AJ10" s="138">
        <f>Предпосылки!AM52</f>
        <v>25</v>
      </c>
      <c r="AK10" s="138">
        <f>Предпосылки!AN52</f>
        <v>26</v>
      </c>
      <c r="AL10" s="138">
        <f>Предпосылки!AO52</f>
        <v>27</v>
      </c>
      <c r="AM10" s="138">
        <f>Предпосылки!AP52</f>
        <v>28</v>
      </c>
      <c r="AN10" s="138">
        <f>Предпосылки!AQ52</f>
        <v>29</v>
      </c>
      <c r="AO10" s="138">
        <f>Предпосылки!AR52</f>
        <v>30</v>
      </c>
      <c r="AP10" s="60"/>
      <c r="AQ10" s="60"/>
      <c r="AR10" s="60"/>
      <c r="AS10" s="60"/>
      <c r="AT10" s="60"/>
    </row>
    <row r="11" spans="8:46">
      <c r="H11" s="364"/>
      <c r="I11" s="364"/>
      <c r="J11" s="364"/>
      <c r="K11" s="364"/>
      <c r="L11" s="137">
        <f>Предпосылки!O53</f>
        <v>46023</v>
      </c>
      <c r="M11" s="137">
        <f>Предпосылки!P53</f>
        <v>46113</v>
      </c>
      <c r="N11" s="137">
        <f>Предпосылки!Q53</f>
        <v>46204</v>
      </c>
      <c r="O11" s="137">
        <f>Предпосылки!R53</f>
        <v>46296</v>
      </c>
      <c r="P11" s="137">
        <f>Предпосылки!S53</f>
        <v>46388</v>
      </c>
      <c r="Q11" s="137">
        <f>Предпосылки!T53</f>
        <v>46478</v>
      </c>
      <c r="R11" s="137">
        <f>Предпосылки!U53</f>
        <v>46569</v>
      </c>
      <c r="S11" s="137">
        <f>Предпосылки!V53</f>
        <v>46661</v>
      </c>
      <c r="T11" s="137">
        <f>Предпосылки!W53</f>
        <v>46753</v>
      </c>
      <c r="U11" s="137">
        <f>Предпосылки!X53</f>
        <v>46844</v>
      </c>
      <c r="V11" s="137">
        <f>Предпосылки!Y53</f>
        <v>46935</v>
      </c>
      <c r="W11" s="137">
        <f>Предпосылки!Z53</f>
        <v>47027</v>
      </c>
      <c r="X11" s="137">
        <f>Предпосылки!AA53</f>
        <v>47119</v>
      </c>
      <c r="Y11" s="137">
        <f>Предпосылки!AB53</f>
        <v>47209</v>
      </c>
      <c r="Z11" s="137">
        <f>Предпосылки!AC53</f>
        <v>47300</v>
      </c>
      <c r="AA11" s="137">
        <f>Предпосылки!AD53</f>
        <v>47392</v>
      </c>
      <c r="AB11" s="137">
        <f>Предпосылки!AE53</f>
        <v>47484</v>
      </c>
      <c r="AC11" s="137">
        <f>Предпосылки!AF53</f>
        <v>47574</v>
      </c>
      <c r="AD11" s="137">
        <f>Предпосылки!AG53</f>
        <v>47665</v>
      </c>
      <c r="AE11" s="137">
        <f>Предпосылки!AH53</f>
        <v>47757</v>
      </c>
      <c r="AF11" s="137">
        <f>Предпосылки!AI53</f>
        <v>47849</v>
      </c>
      <c r="AG11" s="137">
        <f>Предпосылки!AJ53</f>
        <v>47939</v>
      </c>
      <c r="AH11" s="137">
        <f>Предпосылки!AK53</f>
        <v>48030</v>
      </c>
      <c r="AI11" s="137">
        <f>Предпосылки!AL53</f>
        <v>48122</v>
      </c>
      <c r="AJ11" s="137">
        <f>Предпосылки!AM53</f>
        <v>48214</v>
      </c>
      <c r="AK11" s="137">
        <f>Предпосылки!AN53</f>
        <v>48305</v>
      </c>
      <c r="AL11" s="137">
        <f>Предпосылки!AO53</f>
        <v>48396</v>
      </c>
      <c r="AM11" s="137">
        <f>Предпосылки!AP53</f>
        <v>48488</v>
      </c>
      <c r="AN11" s="137">
        <f>Предпосылки!AQ53</f>
        <v>48580</v>
      </c>
      <c r="AO11" s="137">
        <f>Предпосылки!AR53</f>
        <v>48670</v>
      </c>
      <c r="AP11" s="60"/>
      <c r="AQ11" s="60"/>
      <c r="AR11" s="60"/>
      <c r="AS11" s="60"/>
      <c r="AT11" s="60"/>
    </row>
    <row r="12" spans="8:46">
      <c r="H12" s="364"/>
      <c r="I12" s="364"/>
      <c r="J12" s="364"/>
      <c r="K12" s="364"/>
      <c r="L12" s="137">
        <f>Предпосылки!O54</f>
        <v>46112</v>
      </c>
      <c r="M12" s="137">
        <f>Предпосылки!P54</f>
        <v>46203</v>
      </c>
      <c r="N12" s="137">
        <f>Предпосылки!Q54</f>
        <v>46295</v>
      </c>
      <c r="O12" s="137">
        <f>Предпосылки!R54</f>
        <v>46387</v>
      </c>
      <c r="P12" s="137">
        <f>Предпосылки!S54</f>
        <v>46477</v>
      </c>
      <c r="Q12" s="137">
        <f>Предпосылки!T54</f>
        <v>46568</v>
      </c>
      <c r="R12" s="137">
        <f>Предпосылки!U54</f>
        <v>46660</v>
      </c>
      <c r="S12" s="137">
        <f>Предпосылки!V54</f>
        <v>46752</v>
      </c>
      <c r="T12" s="137">
        <f>Предпосылки!W54</f>
        <v>46843</v>
      </c>
      <c r="U12" s="137">
        <f>Предпосылки!X54</f>
        <v>46934</v>
      </c>
      <c r="V12" s="137">
        <f>Предпосылки!Y54</f>
        <v>47026</v>
      </c>
      <c r="W12" s="137">
        <f>Предпосылки!Z54</f>
        <v>47118</v>
      </c>
      <c r="X12" s="137">
        <f>Предпосылки!AA54</f>
        <v>47208</v>
      </c>
      <c r="Y12" s="137">
        <f>Предпосылки!AB54</f>
        <v>47299</v>
      </c>
      <c r="Z12" s="137">
        <f>Предпосылки!AC54</f>
        <v>47391</v>
      </c>
      <c r="AA12" s="137">
        <f>Предпосылки!AD54</f>
        <v>47483</v>
      </c>
      <c r="AB12" s="137">
        <f>Предпосылки!AE54</f>
        <v>47573</v>
      </c>
      <c r="AC12" s="137">
        <f>Предпосылки!AF54</f>
        <v>47664</v>
      </c>
      <c r="AD12" s="137">
        <f>Предпосылки!AG54</f>
        <v>47756</v>
      </c>
      <c r="AE12" s="137">
        <f>Предпосылки!AH54</f>
        <v>47848</v>
      </c>
      <c r="AF12" s="137">
        <f>Предпосылки!AI54</f>
        <v>47938</v>
      </c>
      <c r="AG12" s="137">
        <f>Предпосылки!AJ54</f>
        <v>48029</v>
      </c>
      <c r="AH12" s="137">
        <f>Предпосылки!AK54</f>
        <v>48121</v>
      </c>
      <c r="AI12" s="137">
        <f>Предпосылки!AL54</f>
        <v>48213</v>
      </c>
      <c r="AJ12" s="137">
        <f>Предпосылки!AM54</f>
        <v>48304</v>
      </c>
      <c r="AK12" s="137">
        <f>Предпосылки!AN54</f>
        <v>48395</v>
      </c>
      <c r="AL12" s="137">
        <f>Предпосылки!AO54</f>
        <v>48487</v>
      </c>
      <c r="AM12" s="137">
        <f>Предпосылки!AP54</f>
        <v>48579</v>
      </c>
      <c r="AN12" s="137">
        <f>Предпосылки!AQ54</f>
        <v>48669</v>
      </c>
      <c r="AO12" s="137">
        <f>Предпосылки!AR54</f>
        <v>48760</v>
      </c>
      <c r="AP12" s="60"/>
      <c r="AQ12" s="60"/>
      <c r="AR12" s="60"/>
      <c r="AS12" s="60"/>
      <c r="AT12" s="60"/>
    </row>
    <row r="13" spans="8:46" ht="14.25" customHeight="1" outlineLevel="1">
      <c r="H13" s="139" t="s">
        <v>64</v>
      </c>
      <c r="I13" s="140"/>
      <c r="J13" s="141"/>
      <c r="K13" s="141"/>
      <c r="L13" s="140">
        <f>YEAR(L12)</f>
        <v>2026</v>
      </c>
      <c r="M13" s="140">
        <f t="shared" ref="M13:AO13" si="0">YEAR(M12)</f>
        <v>2026</v>
      </c>
      <c r="N13" s="140">
        <f t="shared" si="0"/>
        <v>2026</v>
      </c>
      <c r="O13" s="140">
        <f t="shared" si="0"/>
        <v>2026</v>
      </c>
      <c r="P13" s="140">
        <f t="shared" si="0"/>
        <v>2027</v>
      </c>
      <c r="Q13" s="140">
        <f t="shared" si="0"/>
        <v>2027</v>
      </c>
      <c r="R13" s="140">
        <f t="shared" si="0"/>
        <v>2027</v>
      </c>
      <c r="S13" s="140">
        <f t="shared" si="0"/>
        <v>2027</v>
      </c>
      <c r="T13" s="140">
        <f t="shared" si="0"/>
        <v>2028</v>
      </c>
      <c r="U13" s="140">
        <f t="shared" si="0"/>
        <v>2028</v>
      </c>
      <c r="V13" s="140">
        <f t="shared" si="0"/>
        <v>2028</v>
      </c>
      <c r="W13" s="140">
        <f t="shared" si="0"/>
        <v>2028</v>
      </c>
      <c r="X13" s="140">
        <f t="shared" si="0"/>
        <v>2029</v>
      </c>
      <c r="Y13" s="140">
        <f t="shared" si="0"/>
        <v>2029</v>
      </c>
      <c r="Z13" s="140">
        <f t="shared" si="0"/>
        <v>2029</v>
      </c>
      <c r="AA13" s="140">
        <f t="shared" si="0"/>
        <v>2029</v>
      </c>
      <c r="AB13" s="140">
        <f t="shared" si="0"/>
        <v>2030</v>
      </c>
      <c r="AC13" s="140">
        <f t="shared" si="0"/>
        <v>2030</v>
      </c>
      <c r="AD13" s="140">
        <f t="shared" si="0"/>
        <v>2030</v>
      </c>
      <c r="AE13" s="140">
        <f t="shared" si="0"/>
        <v>2030</v>
      </c>
      <c r="AF13" s="140">
        <f t="shared" si="0"/>
        <v>2031</v>
      </c>
      <c r="AG13" s="140">
        <f t="shared" si="0"/>
        <v>2031</v>
      </c>
      <c r="AH13" s="140">
        <f t="shared" si="0"/>
        <v>2031</v>
      </c>
      <c r="AI13" s="140">
        <f t="shared" si="0"/>
        <v>2031</v>
      </c>
      <c r="AJ13" s="140">
        <f t="shared" si="0"/>
        <v>2032</v>
      </c>
      <c r="AK13" s="140">
        <f t="shared" si="0"/>
        <v>2032</v>
      </c>
      <c r="AL13" s="140">
        <f t="shared" si="0"/>
        <v>2032</v>
      </c>
      <c r="AM13" s="140">
        <f t="shared" si="0"/>
        <v>2032</v>
      </c>
      <c r="AN13" s="140">
        <f t="shared" si="0"/>
        <v>2033</v>
      </c>
      <c r="AO13" s="140">
        <f t="shared" si="0"/>
        <v>2033</v>
      </c>
      <c r="AP13" s="60"/>
      <c r="AQ13" s="60"/>
      <c r="AR13" s="60"/>
      <c r="AS13" s="60"/>
      <c r="AT13" s="60"/>
    </row>
    <row r="14" spans="8:46" ht="14.25" customHeight="1" outlineLevel="1">
      <c r="H14" s="139" t="s">
        <v>231</v>
      </c>
      <c r="I14" s="140"/>
      <c r="J14" s="141"/>
      <c r="K14" s="141"/>
      <c r="L14" s="142" t="str">
        <f>Предпосылки!O55</f>
        <v>1 кв 2026</v>
      </c>
      <c r="M14" s="142" t="str">
        <f>Предпосылки!P55</f>
        <v>2 кв 2026</v>
      </c>
      <c r="N14" s="142" t="str">
        <f>Предпосылки!Q55</f>
        <v>3 кв 2026</v>
      </c>
      <c r="O14" s="142" t="str">
        <f>Предпосылки!R55</f>
        <v>4 кв 2026</v>
      </c>
      <c r="P14" s="142" t="str">
        <f>Предпосылки!S55</f>
        <v>1 кв 2027</v>
      </c>
      <c r="Q14" s="142" t="str">
        <f>Предпосылки!T55</f>
        <v>2 кв 2027</v>
      </c>
      <c r="R14" s="142" t="str">
        <f>Предпосылки!U55</f>
        <v>3 кв 2027</v>
      </c>
      <c r="S14" s="142" t="str">
        <f>Предпосылки!V55</f>
        <v>4 кв 2027</v>
      </c>
      <c r="T14" s="142" t="str">
        <f>Предпосылки!W55</f>
        <v>1 кв 2028</v>
      </c>
      <c r="U14" s="142" t="str">
        <f>Предпосылки!X55</f>
        <v>2 кв 2028</v>
      </c>
      <c r="V14" s="142" t="str">
        <f>Предпосылки!Y55</f>
        <v>3 кв 2028</v>
      </c>
      <c r="W14" s="142" t="str">
        <f>Предпосылки!Z55</f>
        <v>4 кв 2028</v>
      </c>
      <c r="X14" s="142" t="str">
        <f>Предпосылки!AA55</f>
        <v>1 кв 2029</v>
      </c>
      <c r="Y14" s="142" t="str">
        <f>Предпосылки!AB55</f>
        <v>2 кв 2029</v>
      </c>
      <c r="Z14" s="142" t="str">
        <f>Предпосылки!AC55</f>
        <v>3 кв 2029</v>
      </c>
      <c r="AA14" s="142" t="str">
        <f>Предпосылки!AD55</f>
        <v>4 кв 2029</v>
      </c>
      <c r="AB14" s="142" t="str">
        <f>Предпосылки!AE55</f>
        <v>1 кв 2030</v>
      </c>
      <c r="AC14" s="142" t="str">
        <f>Предпосылки!AF55</f>
        <v>2 кв 2030</v>
      </c>
      <c r="AD14" s="142" t="str">
        <f>Предпосылки!AG55</f>
        <v>3 кв 2030</v>
      </c>
      <c r="AE14" s="142" t="str">
        <f>Предпосылки!AH55</f>
        <v>4 кв 2030</v>
      </c>
      <c r="AF14" s="142" t="str">
        <f>Предпосылки!AI55</f>
        <v>1 кв 2031</v>
      </c>
      <c r="AG14" s="142" t="str">
        <f>Предпосылки!AJ55</f>
        <v>2 кв 2031</v>
      </c>
      <c r="AH14" s="142" t="str">
        <f>Предпосылки!AK55</f>
        <v>3 кв 2031</v>
      </c>
      <c r="AI14" s="142" t="str">
        <f>Предпосылки!AL55</f>
        <v>4 кв 2031</v>
      </c>
      <c r="AJ14" s="142" t="str">
        <f>Предпосылки!AM55</f>
        <v>1 кв 2032</v>
      </c>
      <c r="AK14" s="142" t="str">
        <f>Предпосылки!AN55</f>
        <v>2 кв 2032</v>
      </c>
      <c r="AL14" s="142" t="str">
        <f>Предпосылки!AO55</f>
        <v>3 кв 2032</v>
      </c>
      <c r="AM14" s="142" t="str">
        <f>Предпосылки!AP55</f>
        <v>4 кв 2032</v>
      </c>
      <c r="AN14" s="142" t="str">
        <f>Предпосылки!AQ55</f>
        <v>1 кв 2033</v>
      </c>
      <c r="AO14" s="142" t="str">
        <f>Предпосылки!AR55</f>
        <v>2 кв 2033</v>
      </c>
      <c r="AP14" s="60"/>
      <c r="AQ14" s="60"/>
      <c r="AR14" s="60">
        <f>HLOOKUP(AN14,L14:AO16,3)</f>
        <v>1</v>
      </c>
      <c r="AS14" s="60"/>
      <c r="AT14" s="60"/>
    </row>
    <row r="15" spans="8:46" ht="14.25" customHeight="1" outlineLevel="1">
      <c r="H15" s="139" t="s">
        <v>415</v>
      </c>
      <c r="I15" s="140"/>
      <c r="J15" s="141"/>
      <c r="K15" s="141"/>
      <c r="L15" s="142"/>
      <c r="M15" s="142"/>
      <c r="N15" s="142" t="str">
        <f>L14</f>
        <v>1 кв 2026</v>
      </c>
      <c r="O15" s="142" t="str">
        <f t="shared" ref="O15:AO15" si="1">M14</f>
        <v>2 кв 2026</v>
      </c>
      <c r="P15" s="142" t="str">
        <f t="shared" si="1"/>
        <v>3 кв 2026</v>
      </c>
      <c r="Q15" s="142" t="str">
        <f t="shared" si="1"/>
        <v>4 кв 2026</v>
      </c>
      <c r="R15" s="142" t="str">
        <f t="shared" si="1"/>
        <v>1 кв 2027</v>
      </c>
      <c r="S15" s="142" t="str">
        <f>Q14</f>
        <v>2 кв 2027</v>
      </c>
      <c r="T15" s="142" t="str">
        <f t="shared" si="1"/>
        <v>3 кв 2027</v>
      </c>
      <c r="U15" s="142" t="str">
        <f t="shared" si="1"/>
        <v>4 кв 2027</v>
      </c>
      <c r="V15" s="142" t="str">
        <f t="shared" si="1"/>
        <v>1 кв 2028</v>
      </c>
      <c r="W15" s="142" t="str">
        <f t="shared" si="1"/>
        <v>2 кв 2028</v>
      </c>
      <c r="X15" s="142" t="str">
        <f t="shared" si="1"/>
        <v>3 кв 2028</v>
      </c>
      <c r="Y15" s="142" t="str">
        <f t="shared" si="1"/>
        <v>4 кв 2028</v>
      </c>
      <c r="Z15" s="142" t="str">
        <f t="shared" si="1"/>
        <v>1 кв 2029</v>
      </c>
      <c r="AA15" s="142" t="str">
        <f t="shared" si="1"/>
        <v>2 кв 2029</v>
      </c>
      <c r="AB15" s="142" t="str">
        <f t="shared" si="1"/>
        <v>3 кв 2029</v>
      </c>
      <c r="AC15" s="142" t="str">
        <f t="shared" si="1"/>
        <v>4 кв 2029</v>
      </c>
      <c r="AD15" s="142" t="str">
        <f t="shared" si="1"/>
        <v>1 кв 2030</v>
      </c>
      <c r="AE15" s="142" t="str">
        <f t="shared" si="1"/>
        <v>2 кв 2030</v>
      </c>
      <c r="AF15" s="142" t="str">
        <f t="shared" si="1"/>
        <v>3 кв 2030</v>
      </c>
      <c r="AG15" s="142" t="str">
        <f t="shared" si="1"/>
        <v>4 кв 2030</v>
      </c>
      <c r="AH15" s="142" t="str">
        <f t="shared" si="1"/>
        <v>1 кв 2031</v>
      </c>
      <c r="AI15" s="142" t="str">
        <f t="shared" si="1"/>
        <v>2 кв 2031</v>
      </c>
      <c r="AJ15" s="142" t="str">
        <f t="shared" si="1"/>
        <v>3 кв 2031</v>
      </c>
      <c r="AK15" s="142" t="str">
        <f t="shared" si="1"/>
        <v>4 кв 2031</v>
      </c>
      <c r="AL15" s="142" t="str">
        <f t="shared" si="1"/>
        <v>1 кв 2032</v>
      </c>
      <c r="AM15" s="142" t="str">
        <f t="shared" si="1"/>
        <v>2 кв 2032</v>
      </c>
      <c r="AN15" s="142" t="str">
        <f t="shared" si="1"/>
        <v>3 кв 2032</v>
      </c>
      <c r="AO15" s="142" t="str">
        <f t="shared" si="1"/>
        <v>4 кв 2032</v>
      </c>
      <c r="AP15" s="60"/>
      <c r="AQ15" s="60"/>
      <c r="AR15" s="60"/>
      <c r="AS15" s="60"/>
      <c r="AT15" s="60"/>
    </row>
    <row r="16" spans="8:46" ht="14.25" customHeight="1" outlineLevel="1">
      <c r="H16" s="139"/>
      <c r="I16" s="140"/>
      <c r="J16" s="141"/>
      <c r="K16" s="141"/>
      <c r="L16" s="140">
        <f>L10</f>
        <v>1</v>
      </c>
      <c r="M16" s="140">
        <f t="shared" ref="M16:AO16" si="2">M10</f>
        <v>2</v>
      </c>
      <c r="N16" s="140">
        <f t="shared" si="2"/>
        <v>3</v>
      </c>
      <c r="O16" s="140">
        <f t="shared" si="2"/>
        <v>4</v>
      </c>
      <c r="P16" s="140">
        <f t="shared" si="2"/>
        <v>5</v>
      </c>
      <c r="Q16" s="140">
        <f t="shared" si="2"/>
        <v>6</v>
      </c>
      <c r="R16" s="140">
        <f t="shared" si="2"/>
        <v>7</v>
      </c>
      <c r="S16" s="140">
        <f t="shared" si="2"/>
        <v>8</v>
      </c>
      <c r="T16" s="140">
        <f t="shared" si="2"/>
        <v>9</v>
      </c>
      <c r="U16" s="140">
        <f t="shared" si="2"/>
        <v>10</v>
      </c>
      <c r="V16" s="140">
        <f t="shared" si="2"/>
        <v>11</v>
      </c>
      <c r="W16" s="140">
        <f t="shared" si="2"/>
        <v>12</v>
      </c>
      <c r="X16" s="140">
        <f t="shared" si="2"/>
        <v>13</v>
      </c>
      <c r="Y16" s="140">
        <f t="shared" si="2"/>
        <v>14</v>
      </c>
      <c r="Z16" s="140">
        <f t="shared" si="2"/>
        <v>15</v>
      </c>
      <c r="AA16" s="140">
        <f t="shared" si="2"/>
        <v>16</v>
      </c>
      <c r="AB16" s="140">
        <f t="shared" si="2"/>
        <v>17</v>
      </c>
      <c r="AC16" s="140">
        <f t="shared" si="2"/>
        <v>18</v>
      </c>
      <c r="AD16" s="140">
        <f t="shared" si="2"/>
        <v>19</v>
      </c>
      <c r="AE16" s="140">
        <f t="shared" si="2"/>
        <v>20</v>
      </c>
      <c r="AF16" s="140">
        <f t="shared" si="2"/>
        <v>21</v>
      </c>
      <c r="AG16" s="140">
        <f t="shared" si="2"/>
        <v>22</v>
      </c>
      <c r="AH16" s="140">
        <f t="shared" si="2"/>
        <v>23</v>
      </c>
      <c r="AI16" s="140">
        <f t="shared" si="2"/>
        <v>24</v>
      </c>
      <c r="AJ16" s="140">
        <f t="shared" si="2"/>
        <v>25</v>
      </c>
      <c r="AK16" s="140">
        <f t="shared" si="2"/>
        <v>26</v>
      </c>
      <c r="AL16" s="140">
        <f t="shared" si="2"/>
        <v>27</v>
      </c>
      <c r="AM16" s="140">
        <f t="shared" si="2"/>
        <v>28</v>
      </c>
      <c r="AN16" s="140">
        <f t="shared" si="2"/>
        <v>29</v>
      </c>
      <c r="AO16" s="140">
        <f t="shared" si="2"/>
        <v>30</v>
      </c>
      <c r="AP16" s="60"/>
      <c r="AQ16" s="60"/>
      <c r="AR16" s="60"/>
      <c r="AS16" s="60"/>
      <c r="AT16" s="60"/>
    </row>
    <row r="17" spans="6:46" ht="14.25" customHeight="1" outlineLevel="1">
      <c r="H17" s="139"/>
      <c r="I17" s="140"/>
      <c r="J17" s="141"/>
      <c r="K17" s="141"/>
      <c r="L17" s="142">
        <f>L12</f>
        <v>46112</v>
      </c>
      <c r="M17" s="142">
        <f t="shared" ref="M17:AO17" si="3">M12</f>
        <v>46203</v>
      </c>
      <c r="N17" s="142">
        <f t="shared" si="3"/>
        <v>46295</v>
      </c>
      <c r="O17" s="142">
        <f t="shared" si="3"/>
        <v>46387</v>
      </c>
      <c r="P17" s="142">
        <f t="shared" si="3"/>
        <v>46477</v>
      </c>
      <c r="Q17" s="142">
        <f>Q12</f>
        <v>46568</v>
      </c>
      <c r="R17" s="142">
        <f t="shared" si="3"/>
        <v>46660</v>
      </c>
      <c r="S17" s="142">
        <f t="shared" si="3"/>
        <v>46752</v>
      </c>
      <c r="T17" s="142">
        <f t="shared" si="3"/>
        <v>46843</v>
      </c>
      <c r="U17" s="142">
        <f t="shared" si="3"/>
        <v>46934</v>
      </c>
      <c r="V17" s="142">
        <f t="shared" si="3"/>
        <v>47026</v>
      </c>
      <c r="W17" s="142">
        <f t="shared" si="3"/>
        <v>47118</v>
      </c>
      <c r="X17" s="142">
        <f t="shared" si="3"/>
        <v>47208</v>
      </c>
      <c r="Y17" s="142">
        <f t="shared" si="3"/>
        <v>47299</v>
      </c>
      <c r="Z17" s="142">
        <f t="shared" si="3"/>
        <v>47391</v>
      </c>
      <c r="AA17" s="142">
        <f t="shared" si="3"/>
        <v>47483</v>
      </c>
      <c r="AB17" s="142">
        <f t="shared" si="3"/>
        <v>47573</v>
      </c>
      <c r="AC17" s="142">
        <f t="shared" si="3"/>
        <v>47664</v>
      </c>
      <c r="AD17" s="142">
        <f t="shared" si="3"/>
        <v>47756</v>
      </c>
      <c r="AE17" s="142">
        <f t="shared" si="3"/>
        <v>47848</v>
      </c>
      <c r="AF17" s="142">
        <f t="shared" si="3"/>
        <v>47938</v>
      </c>
      <c r="AG17" s="142">
        <f t="shared" si="3"/>
        <v>48029</v>
      </c>
      <c r="AH17" s="142">
        <f t="shared" si="3"/>
        <v>48121</v>
      </c>
      <c r="AI17" s="142">
        <f t="shared" si="3"/>
        <v>48213</v>
      </c>
      <c r="AJ17" s="142">
        <f t="shared" si="3"/>
        <v>48304</v>
      </c>
      <c r="AK17" s="142">
        <f t="shared" si="3"/>
        <v>48395</v>
      </c>
      <c r="AL17" s="142">
        <f t="shared" si="3"/>
        <v>48487</v>
      </c>
      <c r="AM17" s="142">
        <f t="shared" si="3"/>
        <v>48579</v>
      </c>
      <c r="AN17" s="142">
        <f t="shared" si="3"/>
        <v>48669</v>
      </c>
      <c r="AO17" s="142">
        <f t="shared" si="3"/>
        <v>48760</v>
      </c>
      <c r="AP17" s="60"/>
      <c r="AQ17" s="60"/>
      <c r="AR17" s="60"/>
      <c r="AS17" s="60"/>
      <c r="AT17" s="60"/>
    </row>
    <row r="18" spans="6:46" ht="14.25" customHeight="1">
      <c r="H18" s="139" t="s">
        <v>232</v>
      </c>
      <c r="I18" s="140" t="s">
        <v>392</v>
      </c>
      <c r="J18" s="141" t="s">
        <v>392</v>
      </c>
      <c r="K18" s="141" t="s">
        <v>392</v>
      </c>
      <c r="L18" s="140">
        <f t="shared" ref="L18:AO18" si="4">IF(L11&gt;Дата_погашения_Займа,0,1)</f>
        <v>1</v>
      </c>
      <c r="M18" s="140">
        <f t="shared" si="4"/>
        <v>1</v>
      </c>
      <c r="N18" s="140">
        <f t="shared" si="4"/>
        <v>1</v>
      </c>
      <c r="O18" s="140">
        <f t="shared" si="4"/>
        <v>1</v>
      </c>
      <c r="P18" s="140">
        <f t="shared" si="4"/>
        <v>1</v>
      </c>
      <c r="Q18" s="140">
        <f t="shared" si="4"/>
        <v>1</v>
      </c>
      <c r="R18" s="140">
        <f t="shared" si="4"/>
        <v>1</v>
      </c>
      <c r="S18" s="140">
        <f t="shared" si="4"/>
        <v>1</v>
      </c>
      <c r="T18" s="140">
        <f t="shared" si="4"/>
        <v>1</v>
      </c>
      <c r="U18" s="140">
        <f t="shared" si="4"/>
        <v>1</v>
      </c>
      <c r="V18" s="140">
        <f t="shared" si="4"/>
        <v>1</v>
      </c>
      <c r="W18" s="140">
        <f t="shared" si="4"/>
        <v>1</v>
      </c>
      <c r="X18" s="140">
        <f t="shared" si="4"/>
        <v>1</v>
      </c>
      <c r="Y18" s="140">
        <f t="shared" si="4"/>
        <v>1</v>
      </c>
      <c r="Z18" s="140">
        <f t="shared" si="4"/>
        <v>1</v>
      </c>
      <c r="AA18" s="140">
        <f t="shared" si="4"/>
        <v>1</v>
      </c>
      <c r="AB18" s="140">
        <f t="shared" si="4"/>
        <v>1</v>
      </c>
      <c r="AC18" s="140">
        <f t="shared" si="4"/>
        <v>1</v>
      </c>
      <c r="AD18" s="140">
        <f t="shared" si="4"/>
        <v>1</v>
      </c>
      <c r="AE18" s="140">
        <f t="shared" si="4"/>
        <v>1</v>
      </c>
      <c r="AF18" s="140">
        <f t="shared" si="4"/>
        <v>1</v>
      </c>
      <c r="AG18" s="140">
        <f t="shared" si="4"/>
        <v>0</v>
      </c>
      <c r="AH18" s="140">
        <f t="shared" si="4"/>
        <v>0</v>
      </c>
      <c r="AI18" s="140">
        <f t="shared" si="4"/>
        <v>0</v>
      </c>
      <c r="AJ18" s="140">
        <f t="shared" si="4"/>
        <v>0</v>
      </c>
      <c r="AK18" s="140">
        <f t="shared" si="4"/>
        <v>0</v>
      </c>
      <c r="AL18" s="140">
        <f t="shared" si="4"/>
        <v>0</v>
      </c>
      <c r="AM18" s="140">
        <f>IF(AM11&gt;Дата_погашения_Займа,0,1)</f>
        <v>0</v>
      </c>
      <c r="AN18" s="140">
        <f t="shared" si="4"/>
        <v>0</v>
      </c>
      <c r="AO18" s="140">
        <f t="shared" si="4"/>
        <v>0</v>
      </c>
      <c r="AP18" s="60"/>
      <c r="AQ18" s="60"/>
      <c r="AR18" s="60"/>
      <c r="AS18" s="60"/>
      <c r="AT18" s="60"/>
    </row>
    <row r="19" spans="6:46" ht="14.25" customHeight="1">
      <c r="H19" s="139" t="s">
        <v>405</v>
      </c>
      <c r="I19" s="140" t="s">
        <v>392</v>
      </c>
      <c r="J19" s="141" t="s">
        <v>392</v>
      </c>
      <c r="K19" s="141" t="s">
        <v>392</v>
      </c>
      <c r="L19" s="140">
        <f>IF(L10&gt;=Предпосылки!$H$18,0,1)</f>
        <v>1</v>
      </c>
      <c r="M19" s="140">
        <f>IF(M10&gt;=Предпосылки!$H$18,0,1)</f>
        <v>1</v>
      </c>
      <c r="N19" s="140">
        <f>IF(N10&gt;=Предпосылки!$H$18,0,1)</f>
        <v>1</v>
      </c>
      <c r="O19" s="140">
        <f>IF(O10&gt;=Предпосылки!$H$18,0,1)</f>
        <v>1</v>
      </c>
      <c r="P19" s="140">
        <f>IF(P10&gt;=Предпосылки!$H$18,0,1)</f>
        <v>1</v>
      </c>
      <c r="Q19" s="140">
        <f>IF(Q10&gt;=Предпосылки!$H$18,0,1)</f>
        <v>1</v>
      </c>
      <c r="R19" s="140">
        <f>IF(R10&gt;=Предпосылки!$H$18,0,1)</f>
        <v>1</v>
      </c>
      <c r="S19" s="140">
        <f>IF(S10&gt;=Предпосылки!$H$18,0,1)</f>
        <v>1</v>
      </c>
      <c r="T19" s="140">
        <f>IF(T10&gt;=Предпосылки!$H$18,0,1)</f>
        <v>1</v>
      </c>
      <c r="U19" s="140">
        <f>IF(U10&gt;=Предпосылки!$H$18,0,1)</f>
        <v>1</v>
      </c>
      <c r="V19" s="140">
        <f>IF(V10&gt;=Предпосылки!$H$18,0,1)</f>
        <v>1</v>
      </c>
      <c r="W19" s="140">
        <f>IF(W10&gt;=Предпосылки!$H$18,0,1)</f>
        <v>1</v>
      </c>
      <c r="X19" s="140">
        <f>IF(X10&gt;=Предпосылки!$H$18,0,1)</f>
        <v>1</v>
      </c>
      <c r="Y19" s="140">
        <f>IF(Y10&gt;=Предпосылки!$H$18,0,1)</f>
        <v>1</v>
      </c>
      <c r="Z19" s="140">
        <f>IF(Z10&gt;=Предпосылки!$H$18,0,1)</f>
        <v>1</v>
      </c>
      <c r="AA19" s="140">
        <f>IF(AA10&gt;=Предпосылки!$H$18,0,1)</f>
        <v>1</v>
      </c>
      <c r="AB19" s="140">
        <f>IF(AB10&gt;=Предпосылки!$H$18,0,1)</f>
        <v>1</v>
      </c>
      <c r="AC19" s="140">
        <f>IF(AC10&gt;=Предпосылки!$H$18,0,1)</f>
        <v>1</v>
      </c>
      <c r="AD19" s="140">
        <f>IF(AD10&gt;=Предпосылки!$H$18,0,1)</f>
        <v>1</v>
      </c>
      <c r="AE19" s="140">
        <f>IF(AE10&gt;=Предпосылки!$H$18,0,1)</f>
        <v>1</v>
      </c>
      <c r="AF19" s="140">
        <f>IF(AF10&gt;=Предпосылки!$H$18,0,1)</f>
        <v>1</v>
      </c>
      <c r="AG19" s="140">
        <f>IF(AG10&gt;=Предпосылки!$H$18,0,1)</f>
        <v>1</v>
      </c>
      <c r="AH19" s="140">
        <f>IF(AH10&gt;=Предпосылки!$H$18,0,1)</f>
        <v>1</v>
      </c>
      <c r="AI19" s="140">
        <f>IF(AI10&gt;=Предпосылки!$H$18,0,1)</f>
        <v>1</v>
      </c>
      <c r="AJ19" s="140">
        <f>IF(AJ10&gt;=Предпосылки!$H$18,0,1)</f>
        <v>1</v>
      </c>
      <c r="AK19" s="140">
        <f>IF(AK10&gt;=Предпосылки!$H$18,0,1)</f>
        <v>1</v>
      </c>
      <c r="AL19" s="140">
        <f>IF(AL10&gt;=Предпосылки!$H$18,0,1)</f>
        <v>1</v>
      </c>
      <c r="AM19" s="140">
        <f>IF(AM10&gt;=Предпосылки!$H$18,0,1)</f>
        <v>1</v>
      </c>
      <c r="AN19" s="140">
        <f>IF(AN10&gt;=Предпосылки!$H$18,0,1)</f>
        <v>1</v>
      </c>
      <c r="AO19" s="140">
        <f>IF(AO10&gt;=Предпосылки!$H$18,0,1)</f>
        <v>0</v>
      </c>
      <c r="AP19" s="60"/>
      <c r="AQ19" s="60"/>
      <c r="AR19" s="60"/>
      <c r="AS19" s="60"/>
      <c r="AT19" s="60"/>
    </row>
    <row r="20" spans="6:46" ht="14.25" customHeight="1">
      <c r="H20" s="59"/>
      <c r="I20" s="199"/>
      <c r="J20" s="200"/>
      <c r="K20" s="200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60"/>
      <c r="AQ20" s="60"/>
      <c r="AR20" s="60"/>
      <c r="AS20" s="60"/>
      <c r="AT20" s="60"/>
    </row>
    <row r="21" spans="6:46" ht="21">
      <c r="H21" s="61" t="str">
        <f>Предпосылки!B378</f>
        <v>Инфляция</v>
      </c>
      <c r="I21" s="60"/>
      <c r="J21" s="61"/>
      <c r="K21" s="61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</row>
    <row r="22" spans="6:46" ht="14.25" customHeight="1" outlineLevel="1">
      <c r="F22" s="1">
        <v>1</v>
      </c>
      <c r="H22" s="139" t="s">
        <v>308</v>
      </c>
      <c r="I22" s="140"/>
      <c r="J22" s="141"/>
      <c r="K22" s="201">
        <v>1</v>
      </c>
      <c r="L22" s="201">
        <f>(IF(ISERROR(VLOOKUP($F$22,Предпосылки!$A$379:$K$384,HLOOKUP(L13,Предпосылки!$C$379:$K$380,2),FALSE))=TRUE,0,VLOOKUP($F$22,Предпосылки!$A$379:$K$384,HLOOKUP(L13,Предпосылки!$C$379:$K$380,2),FALSE))*((L$12+1-L$11)/IF(MOD(YEAR(L$12),4),365,366)))+100%</f>
        <v>1</v>
      </c>
      <c r="M22" s="201">
        <f>(IF(ISERROR(VLOOKUP($F$22,Предпосылки!$A$379:$K$384,HLOOKUP(M13,Предпосылки!$C$379:$K$380,2),FALSE))=TRUE,0,VLOOKUP($F$22,Предпосылки!$A$379:$K$384,HLOOKUP(M13,Предпосылки!$C$379:$K$380,2),FALSE))*((M$12+1-M$11)/IF(MOD(YEAR(M$12),4),365,366)))+100%</f>
        <v>1</v>
      </c>
      <c r="N22" s="201">
        <f>(IF(ISERROR(VLOOKUP($F$22,Предпосылки!$A$379:$K$384,HLOOKUP(N13,Предпосылки!$C$379:$K$380,2),FALSE))=TRUE,0,VLOOKUP($F$22,Предпосылки!$A$379:$K$384,HLOOKUP(N13,Предпосылки!$C$379:$K$380,2),FALSE))*((N$12+1-N$11)/IF(MOD(YEAR(N$12),4),365,366)))+100%</f>
        <v>1</v>
      </c>
      <c r="O22" s="201">
        <f>(IF(ISERROR(VLOOKUP($F$22,Предпосылки!$A$379:$K$384,HLOOKUP(O13,Предпосылки!$C$379:$K$380,2),FALSE))=TRUE,0,VLOOKUP($F$22,Предпосылки!$A$379:$K$384,HLOOKUP(O13,Предпосылки!$C$379:$K$380,2),FALSE))*((O$12+1-O$11)/IF(MOD(YEAR(O$12),4),365,366)))+100%</f>
        <v>1</v>
      </c>
      <c r="P22" s="201">
        <f>(IF(ISERROR(VLOOKUP($F$22,Предпосылки!$A$379:$K$384,HLOOKUP(P13,Предпосылки!$C$379:$K$380,2),FALSE))=TRUE,0,VLOOKUP($F$22,Предпосылки!$A$379:$K$384,HLOOKUP(P13,Предпосылки!$C$379:$K$380,2),FALSE))*((P$12+1-P$11)/IF(MOD(YEAR(P$12),4),365,366)))+100%</f>
        <v>1.0135616438356165</v>
      </c>
      <c r="Q22" s="201">
        <f>(IF(ISERROR(VLOOKUP($F$22,Предпосылки!$A$379:$K$384,HLOOKUP(Q13,Предпосылки!$C$379:$K$380,2),FALSE))=TRUE,0,VLOOKUP($F$22,Предпосылки!$A$379:$K$384,HLOOKUP(Q13,Предпосылки!$C$379:$K$380,2),FALSE))*((Q$12+1-Q$11)/IF(MOD(YEAR(Q$12),4),365,366)))+100%</f>
        <v>1.0137123287671232</v>
      </c>
      <c r="R22" s="201">
        <f>(IF(ISERROR(VLOOKUP($F$22,Предпосылки!$A$379:$K$384,HLOOKUP(R13,Предпосылки!$C$379:$K$380,2),FALSE))=TRUE,0,VLOOKUP($F$22,Предпосылки!$A$379:$K$384,HLOOKUP(R13,Предпосылки!$C$379:$K$380,2),FALSE))*((R$12+1-R$11)/IF(MOD(YEAR(R$12),4),365,366)))+100%</f>
        <v>1.0138630136986302</v>
      </c>
      <c r="S22" s="201">
        <f>(IF(ISERROR(VLOOKUP($F$22,Предпосылки!$A$379:$K$384,HLOOKUP(S13,Предпосылки!$C$379:$K$380,2),FALSE))=TRUE,0,VLOOKUP($F$22,Предпосылки!$A$379:$K$384,HLOOKUP(S13,Предпосылки!$C$379:$K$380,2),FALSE))*((S$12+1-S$11)/IF(MOD(YEAR(S$12),4),365,366)))+100%</f>
        <v>1.0138630136986302</v>
      </c>
      <c r="T22" s="201">
        <f>(IF(ISERROR(VLOOKUP($F$22,Предпосылки!$A$379:$K$384,HLOOKUP(T13,Предпосылки!$C$379:$K$380,2),FALSE))=TRUE,0,VLOOKUP($F$22,Предпосылки!$A$379:$K$384,HLOOKUP(T13,Предпосылки!$C$379:$K$380,2),FALSE))*((T$12+1-T$11)/IF(MOD(YEAR(T$12),4),365,366)))+100%</f>
        <v>1.010691256830601</v>
      </c>
      <c r="U22" s="201">
        <f>(IF(ISERROR(VLOOKUP($F$22,Предпосылки!$A$379:$K$384,HLOOKUP(U13,Предпосылки!$C$379:$K$380,2),FALSE))=TRUE,0,VLOOKUP($F$22,Предпосылки!$A$379:$K$384,HLOOKUP(U13,Предпосылки!$C$379:$K$380,2),FALSE))*((U$12+1-U$11)/IF(MOD(YEAR(U$12),4),365,366)))+100%</f>
        <v>1.010691256830601</v>
      </c>
      <c r="V22" s="201">
        <f>(IF(ISERROR(VLOOKUP($F$22,Предпосылки!$A$379:$K$384,HLOOKUP(V13,Предпосылки!$C$379:$K$380,2),FALSE))=TRUE,0,VLOOKUP($F$22,Предпосылки!$A$379:$K$384,HLOOKUP(V13,Предпосылки!$C$379:$K$380,2),FALSE))*((V$12+1-V$11)/IF(MOD(YEAR(V$12),4),365,366)))+100%</f>
        <v>1.0108087431693988</v>
      </c>
      <c r="W22" s="201">
        <f>(IF(ISERROR(VLOOKUP($F$22,Предпосылки!$A$379:$K$384,HLOOKUP(W13,Предпосылки!$C$379:$K$380,2),FALSE))=TRUE,0,VLOOKUP($F$22,Предпосылки!$A$379:$K$384,HLOOKUP(W13,Предпосылки!$C$379:$K$380,2),FALSE))*((W$12+1-W$11)/IF(MOD(YEAR(W$12),4),365,366)))+100%</f>
        <v>1.0108087431693988</v>
      </c>
      <c r="X22" s="201">
        <f>(IF(ISERROR(VLOOKUP($F$22,Предпосылки!$A$379:$K$384,HLOOKUP(X13,Предпосылки!$C$379:$K$380,2),FALSE))=TRUE,0,VLOOKUP($F$22,Предпосылки!$A$379:$K$384,HLOOKUP(X13,Предпосылки!$C$379:$K$380,2),FALSE))*((X$12+1-X$11)/IF(MOD(YEAR(X$12),4),365,366)))+100%</f>
        <v>1.0106027397260273</v>
      </c>
      <c r="Y22" s="201">
        <f>(IF(ISERROR(VLOOKUP($F$22,Предпосылки!$A$379:$K$384,HLOOKUP(Y13,Предпосылки!$C$379:$K$380,2),FALSE))=TRUE,0,VLOOKUP($F$22,Предпосылки!$A$379:$K$384,HLOOKUP(Y13,Предпосылки!$C$379:$K$380,2),FALSE))*((Y$12+1-Y$11)/IF(MOD(YEAR(Y$12),4),365,366)))+100%</f>
        <v>1.0107205479452055</v>
      </c>
      <c r="Z22" s="201">
        <f>(IF(ISERROR(VLOOKUP($F$22,Предпосылки!$A$379:$K$384,HLOOKUP(Z13,Предпосылки!$C$379:$K$380,2),FALSE))=TRUE,0,VLOOKUP($F$22,Предпосылки!$A$379:$K$384,HLOOKUP(Z13,Предпосылки!$C$379:$K$380,2),FALSE))*((Z$12+1-Z$11)/IF(MOD(YEAR(Z$12),4),365,366)))+100%</f>
        <v>1.0108383561643837</v>
      </c>
      <c r="AA22" s="201">
        <f>(IF(ISERROR(VLOOKUP($F$22,Предпосылки!$A$379:$K$384,HLOOKUP(AA13,Предпосылки!$C$379:$K$380,2),FALSE))=TRUE,0,VLOOKUP($F$22,Предпосылки!$A$379:$K$384,HLOOKUP(AA13,Предпосылки!$C$379:$K$380,2),FALSE))*((AA$12+1-AA$11)/IF(MOD(YEAR(AA$12),4),365,366)))+100%</f>
        <v>1.0108383561643837</v>
      </c>
      <c r="AB22" s="201">
        <f>(IF(ISERROR(VLOOKUP($F$22,Предпосылки!$A$379:$K$384,HLOOKUP(AB13,Предпосылки!$C$379:$K$380,2),FALSE))=TRUE,0,VLOOKUP($F$22,Предпосылки!$A$379:$K$384,HLOOKUP(AB13,Предпосылки!$C$379:$K$380,2),FALSE))*((AB$12+1-AB$11)/IF(MOD(YEAR(AB$12),4),365,366)))+100%</f>
        <v>1.0106027397260273</v>
      </c>
      <c r="AC22" s="201">
        <f>(IF(ISERROR(VLOOKUP($F$22,Предпосылки!$A$379:$K$384,HLOOKUP(AC13,Предпосылки!$C$379:$K$380,2),FALSE))=TRUE,0,VLOOKUP($F$22,Предпосылки!$A$379:$K$384,HLOOKUP(AC13,Предпосылки!$C$379:$K$380,2),FALSE))*((AC$12+1-AC$11)/IF(MOD(YEAR(AC$12),4),365,366)))+100%</f>
        <v>1.0107205479452055</v>
      </c>
      <c r="AD22" s="201">
        <f>(IF(ISERROR(VLOOKUP($F$22,Предпосылки!$A$379:$K$384,HLOOKUP(AD13,Предпосылки!$C$379:$K$380,2),FALSE))=TRUE,0,VLOOKUP($F$22,Предпосылки!$A$379:$K$384,HLOOKUP(AD13,Предпосылки!$C$379:$K$380,2),FALSE))*((AD$12+1-AD$11)/IF(MOD(YEAR(AD$12),4),365,366)))+100%</f>
        <v>1.0108383561643837</v>
      </c>
      <c r="AE22" s="201">
        <f>(IF(ISERROR(VLOOKUP($F$22,Предпосылки!$A$379:$K$384,HLOOKUP(AE13,Предпосылки!$C$379:$K$380,2),FALSE))=TRUE,0,VLOOKUP($F$22,Предпосылки!$A$379:$K$384,HLOOKUP(AE13,Предпосылки!$C$379:$K$380,2),FALSE))*((AE$12+1-AE$11)/IF(MOD(YEAR(AE$12),4),365,366)))+100%</f>
        <v>1.0108383561643837</v>
      </c>
      <c r="AF22" s="201">
        <f>(IF(ISERROR(VLOOKUP($F$22,Предпосылки!$A$379:$K$384,HLOOKUP(AF13,Предпосылки!$C$379:$K$380,2),FALSE))=TRUE,0,VLOOKUP($F$22,Предпосылки!$A$379:$K$384,HLOOKUP(AF13,Предпосылки!$C$379:$K$380,2),FALSE))*((AF$12+1-AF$11)/IF(MOD(YEAR(AF$12),4),365,366)))+100%</f>
        <v>1.0106027397260273</v>
      </c>
      <c r="AG22" s="201">
        <f>(IF(ISERROR(VLOOKUP($F$22,Предпосылки!$A$379:$K$384,HLOOKUP(AG13,Предпосылки!$C$379:$K$380,2),FALSE))=TRUE,0,VLOOKUP($F$22,Предпосылки!$A$379:$K$384,HLOOKUP(AG13,Предпосылки!$C$379:$K$380,2),FALSE))*((AG$12+1-AG$11)/IF(MOD(YEAR(AG$12),4),365,366)))+100%</f>
        <v>1.0107205479452055</v>
      </c>
      <c r="AH22" s="201">
        <f>(IF(ISERROR(VLOOKUP($F$22,Предпосылки!$A$379:$K$384,HLOOKUP(AH13,Предпосылки!$C$379:$K$380,2),FALSE))=TRUE,0,VLOOKUP($F$22,Предпосылки!$A$379:$K$384,HLOOKUP(AH13,Предпосылки!$C$379:$K$380,2),FALSE))*((AH$12+1-AH$11)/IF(MOD(YEAR(AH$12),4),365,366)))+100%</f>
        <v>1.0108383561643837</v>
      </c>
      <c r="AI22" s="201">
        <f>(IF(ISERROR(VLOOKUP($F$22,Предпосылки!$A$379:$K$384,HLOOKUP(AI13,Предпосылки!$C$379:$K$380,2),FALSE))=TRUE,0,VLOOKUP($F$22,Предпосылки!$A$379:$K$384,HLOOKUP(AI13,Предпосылки!$C$379:$K$380,2),FALSE))*((AI$12+1-AI$11)/IF(MOD(YEAR(AI$12),4),365,366)))+100%</f>
        <v>1.0108383561643837</v>
      </c>
      <c r="AJ22" s="201">
        <f>(IF(ISERROR(VLOOKUP($F$22,Предпосылки!$A$379:$K$384,HLOOKUP(AJ13,Предпосылки!$C$379:$K$380,2),FALSE))=TRUE,0,VLOOKUP($F$22,Предпосылки!$A$379:$K$384,HLOOKUP(AJ13,Предпосылки!$C$379:$K$380,2),FALSE))*((AJ$12+1-AJ$11)/IF(MOD(YEAR(AJ$12),4),365,366)))+100%</f>
        <v>1.010691256830601</v>
      </c>
      <c r="AK22" s="201">
        <f>(IF(ISERROR(VLOOKUP($F$22,Предпосылки!$A$379:$K$384,HLOOKUP(AK13,Предпосылки!$C$379:$K$380,2),FALSE))=TRUE,0,VLOOKUP($F$22,Предпосылки!$A$379:$K$384,HLOOKUP(AK13,Предпосылки!$C$379:$K$380,2),FALSE))*((AK$12+1-AK$11)/IF(MOD(YEAR(AK$12),4),365,366)))+100%</f>
        <v>1.010691256830601</v>
      </c>
      <c r="AL22" s="201">
        <f>(IF(ISERROR(VLOOKUP($F$22,Предпосылки!$A$379:$K$384,HLOOKUP(AL13,Предпосылки!$C$379:$K$380,2),FALSE))=TRUE,0,VLOOKUP($F$22,Предпосылки!$A$379:$K$384,HLOOKUP(AL13,Предпосылки!$C$379:$K$380,2),FALSE))*((AL$12+1-AL$11)/IF(MOD(YEAR(AL$12),4),365,366)))+100%</f>
        <v>1.0108087431693988</v>
      </c>
      <c r="AM22" s="201">
        <f>(IF(ISERROR(VLOOKUP($F$22,Предпосылки!$A$379:$K$384,HLOOKUP(AM13,Предпосылки!$C$379:$K$380,2),FALSE))=TRUE,0,VLOOKUP($F$22,Предпосылки!$A$379:$K$384,HLOOKUP(AM13,Предпосылки!$C$379:$K$380,2),FALSE))*((AM$12+1-AM$11)/IF(MOD(YEAR(AM$12),4),365,366)))+100%</f>
        <v>1.0108087431693988</v>
      </c>
      <c r="AN22" s="201">
        <f>(IF(ISERROR(VLOOKUP($F$22,Предпосылки!$A$379:$K$384,HLOOKUP(AN13,Предпосылки!$C$379:$K$380,2),FALSE))=TRUE,0,VLOOKUP($F$22,Предпосылки!$A$379:$K$384,HLOOKUP(AN13,Предпосылки!$C$379:$K$380,2),FALSE))*((AN$12+1-AN$11)/IF(MOD(YEAR(AN$12),4),365,366)))+100%</f>
        <v>1.0106027397260273</v>
      </c>
      <c r="AO22" s="201">
        <f>(IF(ISERROR(VLOOKUP($F$22,Предпосылки!$A$379:$K$384,HLOOKUP(AO13,Предпосылки!$C$379:$K$380,2),FALSE))=TRUE,0,VLOOKUP($F$22,Предпосылки!$A$379:$K$384,HLOOKUP(AO13,Предпосылки!$C$379:$K$380,2),FALSE))*((AO$12+1-AO$11)/IF(MOD(YEAR(AO$12),4),365,366)))+100%</f>
        <v>1.0107205479452055</v>
      </c>
      <c r="AP22" s="60"/>
      <c r="AQ22" s="60"/>
      <c r="AR22" s="60"/>
      <c r="AS22" s="60"/>
      <c r="AT22" s="60"/>
    </row>
    <row r="23" spans="6:46" ht="14.25" customHeight="1">
      <c r="H23" s="139" t="s">
        <v>407</v>
      </c>
      <c r="I23" s="140" t="s">
        <v>392</v>
      </c>
      <c r="J23" s="141" t="s">
        <v>392</v>
      </c>
      <c r="K23" s="201">
        <v>1</v>
      </c>
      <c r="L23" s="201">
        <f>ROUND(K23*L22,4)</f>
        <v>1</v>
      </c>
      <c r="M23" s="201">
        <f t="shared" ref="M23:AO23" si="5">ROUND(L23*M22,4)</f>
        <v>1</v>
      </c>
      <c r="N23" s="201">
        <f t="shared" si="5"/>
        <v>1</v>
      </c>
      <c r="O23" s="201">
        <f t="shared" si="5"/>
        <v>1</v>
      </c>
      <c r="P23" s="201">
        <f t="shared" si="5"/>
        <v>1.0136000000000001</v>
      </c>
      <c r="Q23" s="201">
        <f t="shared" si="5"/>
        <v>1.0275000000000001</v>
      </c>
      <c r="R23" s="201">
        <f t="shared" si="5"/>
        <v>1.0417000000000001</v>
      </c>
      <c r="S23" s="201">
        <f t="shared" si="5"/>
        <v>1.0561</v>
      </c>
      <c r="T23" s="201">
        <f t="shared" si="5"/>
        <v>1.0673999999999999</v>
      </c>
      <c r="U23" s="201">
        <f>ROUND(T23*U22,4)</f>
        <v>1.0788</v>
      </c>
      <c r="V23" s="201">
        <f t="shared" si="5"/>
        <v>1.0905</v>
      </c>
      <c r="W23" s="201">
        <f t="shared" si="5"/>
        <v>1.1023000000000001</v>
      </c>
      <c r="X23" s="201">
        <f t="shared" si="5"/>
        <v>1.1140000000000001</v>
      </c>
      <c r="Y23" s="201">
        <f t="shared" si="5"/>
        <v>1.1258999999999999</v>
      </c>
      <c r="Z23" s="201">
        <f t="shared" si="5"/>
        <v>1.1380999999999999</v>
      </c>
      <c r="AA23" s="201">
        <f t="shared" si="5"/>
        <v>1.1504000000000001</v>
      </c>
      <c r="AB23" s="201">
        <f t="shared" si="5"/>
        <v>1.1626000000000001</v>
      </c>
      <c r="AC23" s="201">
        <f t="shared" si="5"/>
        <v>1.1751</v>
      </c>
      <c r="AD23" s="201">
        <f t="shared" si="5"/>
        <v>1.1878</v>
      </c>
      <c r="AE23" s="201">
        <f t="shared" si="5"/>
        <v>1.2007000000000001</v>
      </c>
      <c r="AF23" s="201">
        <f t="shared" si="5"/>
        <v>1.2134</v>
      </c>
      <c r="AG23" s="201">
        <f t="shared" si="5"/>
        <v>1.2263999999999999</v>
      </c>
      <c r="AH23" s="201">
        <f t="shared" si="5"/>
        <v>1.2397</v>
      </c>
      <c r="AI23" s="201">
        <f t="shared" si="5"/>
        <v>1.2531000000000001</v>
      </c>
      <c r="AJ23" s="201">
        <f t="shared" si="5"/>
        <v>1.2665</v>
      </c>
      <c r="AK23" s="201">
        <f t="shared" si="5"/>
        <v>1.28</v>
      </c>
      <c r="AL23" s="201">
        <f t="shared" si="5"/>
        <v>1.2938000000000001</v>
      </c>
      <c r="AM23" s="201">
        <f t="shared" si="5"/>
        <v>1.3078000000000001</v>
      </c>
      <c r="AN23" s="201">
        <f t="shared" si="5"/>
        <v>1.3217000000000001</v>
      </c>
      <c r="AO23" s="201">
        <f t="shared" si="5"/>
        <v>1.3359000000000001</v>
      </c>
      <c r="AP23" s="60"/>
      <c r="AQ23" s="60"/>
      <c r="AR23" s="60"/>
      <c r="AS23" s="60"/>
      <c r="AT23" s="60"/>
    </row>
    <row r="24" spans="6:46" ht="14.25" customHeight="1" outlineLevel="1">
      <c r="F24" s="1">
        <v>2</v>
      </c>
      <c r="H24" s="139" t="s">
        <v>309</v>
      </c>
      <c r="I24" s="140"/>
      <c r="J24" s="141"/>
      <c r="K24" s="201">
        <v>1</v>
      </c>
      <c r="L24" s="201">
        <f>(IF(ISERROR(VLOOKUP($F$24,Предпосылки!$A$379:$K$384,HLOOKUP(L13,Предпосылки!$C$379:$K$380,2),FALSE))=TRUE,0,VLOOKUP($F$24,Предпосылки!$A$379:$K$384,HLOOKUP(L13,Предпосылки!$C$379:$K$380,2),FALSE))*((L$12+1-L$11)/IF(MOD(YEAR(L$12),4),365,366)))+100%</f>
        <v>1</v>
      </c>
      <c r="M24" s="201">
        <f>(IF(ISERROR(VLOOKUP($F$24,Предпосылки!$A$379:$K$384,HLOOKUP(M13,Предпосылки!$C$379:$K$380,2),FALSE))=TRUE,0,VLOOKUP($F$24,Предпосылки!$A$379:$K$384,HLOOKUP(M13,Предпосылки!$C$379:$K$380,2),FALSE))*((M$12+1-M$11)/IF(MOD(YEAR(M$12),4),365,366)))+100%</f>
        <v>1</v>
      </c>
      <c r="N24" s="201">
        <f>(IF(ISERROR(VLOOKUP($F$24,Предпосылки!$A$379:$K$384,HLOOKUP(N13,Предпосылки!$C$379:$K$380,2),FALSE))=TRUE,0,VLOOKUP($F$24,Предпосылки!$A$379:$K$384,HLOOKUP(N13,Предпосылки!$C$379:$K$380,2),FALSE))*((N$12+1-N$11)/IF(MOD(YEAR(N$12),4),365,366)))+100%</f>
        <v>1</v>
      </c>
      <c r="O24" s="201">
        <f>(IF(ISERROR(VLOOKUP($F$24,Предпосылки!$A$379:$K$384,HLOOKUP(O13,Предпосылки!$C$379:$K$380,2),FALSE))=TRUE,0,VLOOKUP($F$24,Предпосылки!$A$379:$K$384,HLOOKUP(O13,Предпосылки!$C$379:$K$380,2),FALSE))*((O$12+1-O$11)/IF(MOD(YEAR(O$12),4),365,366)))+100%</f>
        <v>1</v>
      </c>
      <c r="P24" s="201">
        <f>(IF(ISERROR(VLOOKUP($F$24,Предпосылки!$A$379:$K$384,HLOOKUP(P13,Предпосылки!$C$379:$K$380,2),FALSE))=TRUE,0,VLOOKUP($F$24,Предпосылки!$A$379:$K$384,HLOOKUP(P13,Предпосылки!$C$379:$K$380,2),FALSE))*((P$12+1-P$11)/IF(MOD(YEAR(P$12),4),365,366)))+100%</f>
        <v>1.0135616438356165</v>
      </c>
      <c r="Q24" s="201">
        <f>(IF(ISERROR(VLOOKUP($F$24,Предпосылки!$A$379:$K$384,HLOOKUP(Q13,Предпосылки!$C$379:$K$380,2),FALSE))=TRUE,0,VLOOKUP($F$24,Предпосылки!$A$379:$K$384,HLOOKUP(Q13,Предпосылки!$C$379:$K$380,2),FALSE))*((Q$12+1-Q$11)/IF(MOD(YEAR(Q$12),4),365,366)))+100%</f>
        <v>1.0137123287671232</v>
      </c>
      <c r="R24" s="201">
        <f>(IF(ISERROR(VLOOKUP($F$24,Предпосылки!$A$379:$K$384,HLOOKUP(R13,Предпосылки!$C$379:$K$380,2),FALSE))=TRUE,0,VLOOKUP($F$24,Предпосылки!$A$379:$K$384,HLOOKUP(R13,Предпосылки!$C$379:$K$380,2),FALSE))*((R$12+1-R$11)/IF(MOD(YEAR(R$12),4),365,366)))+100%</f>
        <v>1.0138630136986302</v>
      </c>
      <c r="S24" s="201">
        <f>(IF(ISERROR(VLOOKUP($F$24,Предпосылки!$A$379:$K$384,HLOOKUP(S13,Предпосылки!$C$379:$K$380,2),FALSE))=TRUE,0,VLOOKUP($F$24,Предпосылки!$A$379:$K$384,HLOOKUP(S13,Предпосылки!$C$379:$K$380,2),FALSE))*((S$12+1-S$11)/IF(MOD(YEAR(S$12),4),365,366)))+100%</f>
        <v>1.0138630136986302</v>
      </c>
      <c r="T24" s="201">
        <f>(IF(ISERROR(VLOOKUP($F$24,Предпосылки!$A$379:$K$384,HLOOKUP(T13,Предпосылки!$C$379:$K$380,2),FALSE))=TRUE,0,VLOOKUP($F$24,Предпосылки!$A$379:$K$384,HLOOKUP(T13,Предпосылки!$C$379:$K$380,2),FALSE))*((T$12+1-T$11)/IF(MOD(YEAR(T$12),4),365,366)))+100%</f>
        <v>1.010691256830601</v>
      </c>
      <c r="U24" s="201">
        <f>(IF(ISERROR(VLOOKUP($F$24,Предпосылки!$A$379:$K$384,HLOOKUP(U13,Предпосылки!$C$379:$K$380,2),FALSE))=TRUE,0,VLOOKUP($F$24,Предпосылки!$A$379:$K$384,HLOOKUP(U13,Предпосылки!$C$379:$K$380,2),FALSE))*((U$12+1-U$11)/IF(MOD(YEAR(U$12),4),365,366)))+100%</f>
        <v>1.010691256830601</v>
      </c>
      <c r="V24" s="201">
        <f>(IF(ISERROR(VLOOKUP($F$24,Предпосылки!$A$379:$K$384,HLOOKUP(V13,Предпосылки!$C$379:$K$380,2),FALSE))=TRUE,0,VLOOKUP($F$24,Предпосылки!$A$379:$K$384,HLOOKUP(V13,Предпосылки!$C$379:$K$380,2),FALSE))*((V$12+1-V$11)/IF(MOD(YEAR(V$12),4),365,366)))+100%</f>
        <v>1.0108087431693988</v>
      </c>
      <c r="W24" s="201">
        <f>(IF(ISERROR(VLOOKUP($F$24,Предпосылки!$A$379:$K$384,HLOOKUP(W13,Предпосылки!$C$379:$K$380,2),FALSE))=TRUE,0,VLOOKUP($F$24,Предпосылки!$A$379:$K$384,HLOOKUP(W13,Предпосылки!$C$379:$K$380,2),FALSE))*((W$12+1-W$11)/IF(MOD(YEAR(W$12),4),365,366)))+100%</f>
        <v>1.0108087431693988</v>
      </c>
      <c r="X24" s="201">
        <f>(IF(ISERROR(VLOOKUP($F$24,Предпосылки!$A$379:$K$384,HLOOKUP(X13,Предпосылки!$C$379:$K$380,2),FALSE))=TRUE,0,VLOOKUP($F$24,Предпосылки!$A$379:$K$384,HLOOKUP(X13,Предпосылки!$C$379:$K$380,2),FALSE))*((X$12+1-X$11)/IF(MOD(YEAR(X$12),4),365,366)))+100%</f>
        <v>1.0106027397260273</v>
      </c>
      <c r="Y24" s="201">
        <f>(IF(ISERROR(VLOOKUP($F$24,Предпосылки!$A$379:$K$384,HLOOKUP(Y13,Предпосылки!$C$379:$K$380,2),FALSE))=TRUE,0,VLOOKUP($F$24,Предпосылки!$A$379:$K$384,HLOOKUP(Y13,Предпосылки!$C$379:$K$380,2),FALSE))*((Y$12+1-Y$11)/IF(MOD(YEAR(Y$12),4),365,366)))+100%</f>
        <v>1.0107205479452055</v>
      </c>
      <c r="Z24" s="201">
        <f>(IF(ISERROR(VLOOKUP($F$24,Предпосылки!$A$379:$K$384,HLOOKUP(Z13,Предпосылки!$C$379:$K$380,2),FALSE))=TRUE,0,VLOOKUP($F$24,Предпосылки!$A$379:$K$384,HLOOKUP(Z13,Предпосылки!$C$379:$K$380,2),FALSE))*((Z$12+1-Z$11)/IF(MOD(YEAR(Z$12),4),365,366)))+100%</f>
        <v>1.0108383561643837</v>
      </c>
      <c r="AA24" s="201">
        <f>(IF(ISERROR(VLOOKUP($F$24,Предпосылки!$A$379:$K$384,HLOOKUP(AA13,Предпосылки!$C$379:$K$380,2),FALSE))=TRUE,0,VLOOKUP($F$24,Предпосылки!$A$379:$K$384,HLOOKUP(AA13,Предпосылки!$C$379:$K$380,2),FALSE))*((AA$12+1-AA$11)/IF(MOD(YEAR(AA$12),4),365,366)))+100%</f>
        <v>1.0108383561643837</v>
      </c>
      <c r="AB24" s="201">
        <f>(IF(ISERROR(VLOOKUP($F$24,Предпосылки!$A$379:$K$384,HLOOKUP(AB13,Предпосылки!$C$379:$K$380,2),FALSE))=TRUE,0,VLOOKUP($F$24,Предпосылки!$A$379:$K$384,HLOOKUP(AB13,Предпосылки!$C$379:$K$380,2),FALSE))*((AB$12+1-AB$11)/IF(MOD(YEAR(AB$12),4),365,366)))+100%</f>
        <v>1.0106027397260273</v>
      </c>
      <c r="AC24" s="201">
        <f>(IF(ISERROR(VLOOKUP($F$24,Предпосылки!$A$379:$K$384,HLOOKUP(AC13,Предпосылки!$C$379:$K$380,2),FALSE))=TRUE,0,VLOOKUP($F$24,Предпосылки!$A$379:$K$384,HLOOKUP(AC13,Предпосылки!$C$379:$K$380,2),FALSE))*((AC$12+1-AC$11)/IF(MOD(YEAR(AC$12),4),365,366)))+100%</f>
        <v>1.0107205479452055</v>
      </c>
      <c r="AD24" s="201">
        <f>(IF(ISERROR(VLOOKUP($F$24,Предпосылки!$A$379:$K$384,HLOOKUP(AD13,Предпосылки!$C$379:$K$380,2),FALSE))=TRUE,0,VLOOKUP($F$24,Предпосылки!$A$379:$K$384,HLOOKUP(AD13,Предпосылки!$C$379:$K$380,2),FALSE))*((AD$12+1-AD$11)/IF(MOD(YEAR(AD$12),4),365,366)))+100%</f>
        <v>1.0108383561643837</v>
      </c>
      <c r="AE24" s="201">
        <f>(IF(ISERROR(VLOOKUP($F$24,Предпосылки!$A$379:$K$384,HLOOKUP(AE13,Предпосылки!$C$379:$K$380,2),FALSE))=TRUE,0,VLOOKUP($F$24,Предпосылки!$A$379:$K$384,HLOOKUP(AE13,Предпосылки!$C$379:$K$380,2),FALSE))*((AE$12+1-AE$11)/IF(MOD(YEAR(AE$12),4),365,366)))+100%</f>
        <v>1.0108383561643837</v>
      </c>
      <c r="AF24" s="201">
        <f>(IF(ISERROR(VLOOKUP($F$24,Предпосылки!$A$379:$K$384,HLOOKUP(AF13,Предпосылки!$C$379:$K$380,2),FALSE))=TRUE,0,VLOOKUP($F$24,Предпосылки!$A$379:$K$384,HLOOKUP(AF13,Предпосылки!$C$379:$K$380,2),FALSE))*((AF$12+1-AF$11)/IF(MOD(YEAR(AF$12),4),365,366)))+100%</f>
        <v>1.0106027397260273</v>
      </c>
      <c r="AG24" s="201">
        <f>(IF(ISERROR(VLOOKUP($F$24,Предпосылки!$A$379:$K$384,HLOOKUP(AG13,Предпосылки!$C$379:$K$380,2),FALSE))=TRUE,0,VLOOKUP($F$24,Предпосылки!$A$379:$K$384,HLOOKUP(AG13,Предпосылки!$C$379:$K$380,2),FALSE))*((AG$12+1-AG$11)/IF(MOD(YEAR(AG$12),4),365,366)))+100%</f>
        <v>1.0107205479452055</v>
      </c>
      <c r="AH24" s="201">
        <f>(IF(ISERROR(VLOOKUP($F$24,Предпосылки!$A$379:$K$384,HLOOKUP(AH13,Предпосылки!$C$379:$K$380,2),FALSE))=TRUE,0,VLOOKUP($F$24,Предпосылки!$A$379:$K$384,HLOOKUP(AH13,Предпосылки!$C$379:$K$380,2),FALSE))*((AH$12+1-AH$11)/IF(MOD(YEAR(AH$12),4),365,366)))+100%</f>
        <v>1.0108383561643837</v>
      </c>
      <c r="AI24" s="201">
        <f>(IF(ISERROR(VLOOKUP($F$24,Предпосылки!$A$379:$K$384,HLOOKUP(AI13,Предпосылки!$C$379:$K$380,2),FALSE))=TRUE,0,VLOOKUP($F$24,Предпосылки!$A$379:$K$384,HLOOKUP(AI13,Предпосылки!$C$379:$K$380,2),FALSE))*((AI$12+1-AI$11)/IF(MOD(YEAR(AI$12),4),365,366)))+100%</f>
        <v>1.0108383561643837</v>
      </c>
      <c r="AJ24" s="201">
        <f>(IF(ISERROR(VLOOKUP($F$24,Предпосылки!$A$379:$K$384,HLOOKUP(AJ13,Предпосылки!$C$379:$K$380,2),FALSE))=TRUE,0,VLOOKUP($F$24,Предпосылки!$A$379:$K$384,HLOOKUP(AJ13,Предпосылки!$C$379:$K$380,2),FALSE))*((AJ$12+1-AJ$11)/IF(MOD(YEAR(AJ$12),4),365,366)))+100%</f>
        <v>1.010691256830601</v>
      </c>
      <c r="AK24" s="201">
        <f>(IF(ISERROR(VLOOKUP($F$24,Предпосылки!$A$379:$K$384,HLOOKUP(AK13,Предпосылки!$C$379:$K$380,2),FALSE))=TRUE,0,VLOOKUP($F$24,Предпосылки!$A$379:$K$384,HLOOKUP(AK13,Предпосылки!$C$379:$K$380,2),FALSE))*((AK$12+1-AK$11)/IF(MOD(YEAR(AK$12),4),365,366)))+100%</f>
        <v>1.010691256830601</v>
      </c>
      <c r="AL24" s="201">
        <f>(IF(ISERROR(VLOOKUP($F$24,Предпосылки!$A$379:$K$384,HLOOKUP(AL13,Предпосылки!$C$379:$K$380,2),FALSE))=TRUE,0,VLOOKUP($F$24,Предпосылки!$A$379:$K$384,HLOOKUP(AL13,Предпосылки!$C$379:$K$380,2),FALSE))*((AL$12+1-AL$11)/IF(MOD(YEAR(AL$12),4),365,366)))+100%</f>
        <v>1.0108087431693988</v>
      </c>
      <c r="AM24" s="201">
        <f>(IF(ISERROR(VLOOKUP($F$24,Предпосылки!$A$379:$K$384,HLOOKUP(AM13,Предпосылки!$C$379:$K$380,2),FALSE))=TRUE,0,VLOOKUP($F$24,Предпосылки!$A$379:$K$384,HLOOKUP(AM13,Предпосылки!$C$379:$K$380,2),FALSE))*((AM$12+1-AM$11)/IF(MOD(YEAR(AM$12),4),365,366)))+100%</f>
        <v>1.0108087431693988</v>
      </c>
      <c r="AN24" s="201">
        <f>(IF(ISERROR(VLOOKUP($F$24,Предпосылки!$A$379:$K$384,HLOOKUP(AN13,Предпосылки!$C$379:$K$380,2),FALSE))=TRUE,0,VLOOKUP($F$24,Предпосылки!$A$379:$K$384,HLOOKUP(AN13,Предпосылки!$C$379:$K$380,2),FALSE))*((AN$12+1-AN$11)/IF(MOD(YEAR(AN$12),4),365,366)))+100%</f>
        <v>1.0106027397260273</v>
      </c>
      <c r="AO24" s="201">
        <f>(IF(ISERROR(VLOOKUP($F$24,Предпосылки!$A$379:$K$384,HLOOKUP(AO13,Предпосылки!$C$379:$K$380,2),FALSE))=TRUE,0,VLOOKUP($F$24,Предпосылки!$A$379:$K$384,HLOOKUP(AO13,Предпосылки!$C$379:$K$380,2),FALSE))*((AO$12+1-AO$11)/IF(MOD(YEAR(AO$12),4),365,366)))+100%</f>
        <v>1.0107205479452055</v>
      </c>
      <c r="AP24" s="60"/>
      <c r="AQ24" s="60"/>
      <c r="AR24" s="60"/>
      <c r="AS24" s="60"/>
      <c r="AT24" s="60"/>
    </row>
    <row r="25" spans="6:46" ht="14.25" customHeight="1">
      <c r="H25" s="139" t="s">
        <v>310</v>
      </c>
      <c r="I25" s="140" t="s">
        <v>392</v>
      </c>
      <c r="J25" s="141" t="s">
        <v>392</v>
      </c>
      <c r="K25" s="201">
        <v>1</v>
      </c>
      <c r="L25" s="201">
        <f>ROUND(K25*L24,4)</f>
        <v>1</v>
      </c>
      <c r="M25" s="201">
        <f t="shared" ref="M25" si="6">ROUND(L25*M24,4)</f>
        <v>1</v>
      </c>
      <c r="N25" s="201">
        <f t="shared" ref="N25" si="7">ROUND(M25*N24,4)</f>
        <v>1</v>
      </c>
      <c r="O25" s="201">
        <f t="shared" ref="O25" si="8">ROUND(N25*O24,4)</f>
        <v>1</v>
      </c>
      <c r="P25" s="201">
        <f t="shared" ref="P25" si="9">ROUND(O25*P24,4)</f>
        <v>1.0136000000000001</v>
      </c>
      <c r="Q25" s="201">
        <f t="shared" ref="Q25" si="10">ROUND(P25*Q24,4)</f>
        <v>1.0275000000000001</v>
      </c>
      <c r="R25" s="201">
        <f t="shared" ref="R25" si="11">ROUND(Q25*R24,4)</f>
        <v>1.0417000000000001</v>
      </c>
      <c r="S25" s="201">
        <f t="shared" ref="S25" si="12">ROUND(R25*S24,4)</f>
        <v>1.0561</v>
      </c>
      <c r="T25" s="201">
        <f t="shared" ref="T25" si="13">ROUND(S25*T24,4)</f>
        <v>1.0673999999999999</v>
      </c>
      <c r="U25" s="201">
        <f t="shared" ref="U25" si="14">ROUND(T25*U24,4)</f>
        <v>1.0788</v>
      </c>
      <c r="V25" s="201">
        <f t="shared" ref="V25" si="15">ROUND(U25*V24,4)</f>
        <v>1.0905</v>
      </c>
      <c r="W25" s="201">
        <f t="shared" ref="W25" si="16">ROUND(V25*W24,4)</f>
        <v>1.1023000000000001</v>
      </c>
      <c r="X25" s="201">
        <f t="shared" ref="X25" si="17">ROUND(W25*X24,4)</f>
        <v>1.1140000000000001</v>
      </c>
      <c r="Y25" s="201">
        <f t="shared" ref="Y25" si="18">ROUND(X25*Y24,4)</f>
        <v>1.1258999999999999</v>
      </c>
      <c r="Z25" s="201">
        <f t="shared" ref="Z25" si="19">ROUND(Y25*Z24,4)</f>
        <v>1.1380999999999999</v>
      </c>
      <c r="AA25" s="201">
        <f t="shared" ref="AA25" si="20">ROUND(Z25*AA24,4)</f>
        <v>1.1504000000000001</v>
      </c>
      <c r="AB25" s="201">
        <f t="shared" ref="AB25" si="21">ROUND(AA25*AB24,4)</f>
        <v>1.1626000000000001</v>
      </c>
      <c r="AC25" s="201">
        <f t="shared" ref="AC25" si="22">ROUND(AB25*AC24,4)</f>
        <v>1.1751</v>
      </c>
      <c r="AD25" s="201">
        <f t="shared" ref="AD25" si="23">ROUND(AC25*AD24,4)</f>
        <v>1.1878</v>
      </c>
      <c r="AE25" s="201">
        <f t="shared" ref="AE25" si="24">ROUND(AD25*AE24,4)</f>
        <v>1.2007000000000001</v>
      </c>
      <c r="AF25" s="201">
        <f t="shared" ref="AF25" si="25">ROUND(AE25*AF24,4)</f>
        <v>1.2134</v>
      </c>
      <c r="AG25" s="201">
        <f t="shared" ref="AG25" si="26">ROUND(AF25*AG24,4)</f>
        <v>1.2263999999999999</v>
      </c>
      <c r="AH25" s="201">
        <f t="shared" ref="AH25" si="27">ROUND(AG25*AH24,4)</f>
        <v>1.2397</v>
      </c>
      <c r="AI25" s="201">
        <f t="shared" ref="AI25" si="28">ROUND(AH25*AI24,4)</f>
        <v>1.2531000000000001</v>
      </c>
      <c r="AJ25" s="201">
        <f t="shared" ref="AJ25" si="29">ROUND(AI25*AJ24,4)</f>
        <v>1.2665</v>
      </c>
      <c r="AK25" s="201">
        <f t="shared" ref="AK25" si="30">ROUND(AJ25*AK24,4)</f>
        <v>1.28</v>
      </c>
      <c r="AL25" s="201">
        <f t="shared" ref="AL25" si="31">ROUND(AK25*AL24,4)</f>
        <v>1.2938000000000001</v>
      </c>
      <c r="AM25" s="201">
        <f t="shared" ref="AM25" si="32">ROUND(AL25*AM24,4)</f>
        <v>1.3078000000000001</v>
      </c>
      <c r="AN25" s="201">
        <f t="shared" ref="AN25" si="33">ROUND(AM25*AN24,4)</f>
        <v>1.3217000000000001</v>
      </c>
      <c r="AO25" s="201">
        <f t="shared" ref="AO25" si="34">ROUND(AN25*AO24,4)</f>
        <v>1.3359000000000001</v>
      </c>
      <c r="AP25" s="60"/>
      <c r="AQ25" s="60"/>
      <c r="AR25" s="60"/>
      <c r="AS25" s="60"/>
      <c r="AT25" s="60"/>
    </row>
    <row r="26" spans="6:46" ht="14.25" customHeight="1" outlineLevel="1">
      <c r="F26" s="1">
        <v>3</v>
      </c>
      <c r="H26" s="139" t="s">
        <v>311</v>
      </c>
      <c r="I26" s="140"/>
      <c r="J26" s="141"/>
      <c r="K26" s="201">
        <v>1</v>
      </c>
      <c r="L26" s="201">
        <f>(IF(ISERROR(VLOOKUP($F$26,Предпосылки!$A$379:$K$384,HLOOKUP(L13,Предпосылки!$C$379:$K$380,2),FALSE))=TRUE,0,VLOOKUP($F$26,Предпосылки!$A$379:$K$384,HLOOKUP(L13,Предпосылки!$C$379:$K$380,2),FALSE))*((L$12+1-L$11)/IF(MOD(YEAR(L$12),4),365,366)))+100%</f>
        <v>1</v>
      </c>
      <c r="M26" s="201">
        <f>(IF(ISERROR(VLOOKUP($F$26,Предпосылки!$A$379:$K$384,HLOOKUP(M13,Предпосылки!$C$379:$K$380,2),FALSE))=TRUE,0,VLOOKUP($F$26,Предпосылки!$A$379:$K$384,HLOOKUP(M13,Предпосылки!$C$379:$K$380,2),FALSE))*((M$12+1-M$11)/IF(MOD(YEAR(M$12),4),365,366)))+100%</f>
        <v>1</v>
      </c>
      <c r="N26" s="201">
        <f>(IF(ISERROR(VLOOKUP($F$26,Предпосылки!$A$379:$K$384,HLOOKUP(N13,Предпосылки!$C$379:$K$380,2),FALSE))=TRUE,0,VLOOKUP($F$26,Предпосылки!$A$379:$K$384,HLOOKUP(N13,Предпосылки!$C$379:$K$380,2),FALSE))*((N$12+1-N$11)/IF(MOD(YEAR(N$12),4),365,366)))+100%</f>
        <v>1</v>
      </c>
      <c r="O26" s="201">
        <f>(IF(ISERROR(VLOOKUP($F$26,Предпосылки!$A$379:$K$384,HLOOKUP(O13,Предпосылки!$C$379:$K$380,2),FALSE))=TRUE,0,VLOOKUP($F$26,Предпосылки!$A$379:$K$384,HLOOKUP(O13,Предпосылки!$C$379:$K$380,2),FALSE))*((O$12+1-O$11)/IF(MOD(YEAR(O$12),4),365,366)))+100%</f>
        <v>1</v>
      </c>
      <c r="P26" s="201">
        <f>(IF(ISERROR(VLOOKUP($F$26,Предпосылки!$A$379:$K$384,HLOOKUP(P13,Предпосылки!$C$379:$K$380,2),FALSE))=TRUE,0,VLOOKUP($F$26,Предпосылки!$A$379:$K$384,HLOOKUP(P13,Предпосылки!$C$379:$K$380,2),FALSE))*((P$12+1-P$11)/IF(MOD(YEAR(P$12),4),365,366)))+100%</f>
        <v>1.0135616438356165</v>
      </c>
      <c r="Q26" s="201">
        <f>(IF(ISERROR(VLOOKUP($F$26,Предпосылки!$A$379:$K$384,HLOOKUP(Q13,Предпосылки!$C$379:$K$380,2),FALSE))=TRUE,0,VLOOKUP($F$26,Предпосылки!$A$379:$K$384,HLOOKUP(Q13,Предпосылки!$C$379:$K$380,2),FALSE))*((Q$12+1-Q$11)/IF(MOD(YEAR(Q$12),4),365,366)))+100%</f>
        <v>1.0137123287671232</v>
      </c>
      <c r="R26" s="201">
        <f>(IF(ISERROR(VLOOKUP($F$26,Предпосылки!$A$379:$K$384,HLOOKUP(R13,Предпосылки!$C$379:$K$380,2),FALSE))=TRUE,0,VLOOKUP($F$26,Предпосылки!$A$379:$K$384,HLOOKUP(R13,Предпосылки!$C$379:$K$380,2),FALSE))*((R$12+1-R$11)/IF(MOD(YEAR(R$12),4),365,366)))+100%</f>
        <v>1.0138630136986302</v>
      </c>
      <c r="S26" s="201">
        <f>(IF(ISERROR(VLOOKUP($F$26,Предпосылки!$A$379:$K$384,HLOOKUP(S13,Предпосылки!$C$379:$K$380,2),FALSE))=TRUE,0,VLOOKUP($F$26,Предпосылки!$A$379:$K$384,HLOOKUP(S13,Предпосылки!$C$379:$K$380,2),FALSE))*((S$12+1-S$11)/IF(MOD(YEAR(S$12),4),365,366)))+100%</f>
        <v>1.0138630136986302</v>
      </c>
      <c r="T26" s="201">
        <f>(IF(ISERROR(VLOOKUP($F$26,Предпосылки!$A$379:$K$384,HLOOKUP(T13,Предпосылки!$C$379:$K$380,2),FALSE))=TRUE,0,VLOOKUP($F$26,Предпосылки!$A$379:$K$384,HLOOKUP(T13,Предпосылки!$C$379:$K$380,2),FALSE))*((T$12+1-T$11)/IF(MOD(YEAR(T$12),4),365,366)))+100%</f>
        <v>1.010691256830601</v>
      </c>
      <c r="U26" s="201">
        <f>(IF(ISERROR(VLOOKUP($F$26,Предпосылки!$A$379:$K$384,HLOOKUP(U13,Предпосылки!$C$379:$K$380,2),FALSE))=TRUE,0,VLOOKUP($F$26,Предпосылки!$A$379:$K$384,HLOOKUP(U13,Предпосылки!$C$379:$K$380,2),FALSE))*((U$12+1-U$11)/IF(MOD(YEAR(U$12),4),365,366)))+100%</f>
        <v>1.010691256830601</v>
      </c>
      <c r="V26" s="201">
        <f>(IF(ISERROR(VLOOKUP($F$26,Предпосылки!$A$379:$K$384,HLOOKUP(V13,Предпосылки!$C$379:$K$380,2),FALSE))=TRUE,0,VLOOKUP($F$26,Предпосылки!$A$379:$K$384,HLOOKUP(V13,Предпосылки!$C$379:$K$380,2),FALSE))*((V$12+1-V$11)/IF(MOD(YEAR(V$12),4),365,366)))+100%</f>
        <v>1.0108087431693988</v>
      </c>
      <c r="W26" s="201">
        <f>(IF(ISERROR(VLOOKUP($F$26,Предпосылки!$A$379:$K$384,HLOOKUP(W13,Предпосылки!$C$379:$K$380,2),FALSE))=TRUE,0,VLOOKUP($F$26,Предпосылки!$A$379:$K$384,HLOOKUP(W13,Предпосылки!$C$379:$K$380,2),FALSE))*((W$12+1-W$11)/IF(MOD(YEAR(W$12),4),365,366)))+100%</f>
        <v>1.0108087431693988</v>
      </c>
      <c r="X26" s="201">
        <f>(IF(ISERROR(VLOOKUP($F$26,Предпосылки!$A$379:$K$384,HLOOKUP(X13,Предпосылки!$C$379:$K$380,2),FALSE))=TRUE,0,VLOOKUP($F$26,Предпосылки!$A$379:$K$384,HLOOKUP(X13,Предпосылки!$C$379:$K$380,2),FALSE))*((X$12+1-X$11)/IF(MOD(YEAR(X$12),4),365,366)))+100%</f>
        <v>1.0106027397260273</v>
      </c>
      <c r="Y26" s="201">
        <f>(IF(ISERROR(VLOOKUP($F$26,Предпосылки!$A$379:$K$384,HLOOKUP(Y13,Предпосылки!$C$379:$K$380,2),FALSE))=TRUE,0,VLOOKUP($F$26,Предпосылки!$A$379:$K$384,HLOOKUP(Y13,Предпосылки!$C$379:$K$380,2),FALSE))*((Y$12+1-Y$11)/IF(MOD(YEAR(Y$12),4),365,366)))+100%</f>
        <v>1.0107205479452055</v>
      </c>
      <c r="Z26" s="201">
        <f>(IF(ISERROR(VLOOKUP($F$26,Предпосылки!$A$379:$K$384,HLOOKUP(Z13,Предпосылки!$C$379:$K$380,2),FALSE))=TRUE,0,VLOOKUP($F$26,Предпосылки!$A$379:$K$384,HLOOKUP(Z13,Предпосылки!$C$379:$K$380,2),FALSE))*((Z$12+1-Z$11)/IF(MOD(YEAR(Z$12),4),365,366)))+100%</f>
        <v>1.0108383561643837</v>
      </c>
      <c r="AA26" s="201">
        <f>(IF(ISERROR(VLOOKUP($F$26,Предпосылки!$A$379:$K$384,HLOOKUP(AA13,Предпосылки!$C$379:$K$380,2),FALSE))=TRUE,0,VLOOKUP($F$26,Предпосылки!$A$379:$K$384,HLOOKUP(AA13,Предпосылки!$C$379:$K$380,2),FALSE))*((AA$12+1-AA$11)/IF(MOD(YEAR(AA$12),4),365,366)))+100%</f>
        <v>1.0108383561643837</v>
      </c>
      <c r="AB26" s="201">
        <f>(IF(ISERROR(VLOOKUP($F$26,Предпосылки!$A$379:$K$384,HLOOKUP(AB13,Предпосылки!$C$379:$K$380,2),FALSE))=TRUE,0,VLOOKUP($F$26,Предпосылки!$A$379:$K$384,HLOOKUP(AB13,Предпосылки!$C$379:$K$380,2),FALSE))*((AB$12+1-AB$11)/IF(MOD(YEAR(AB$12),4),365,366)))+100%</f>
        <v>1.0106027397260273</v>
      </c>
      <c r="AC26" s="201">
        <f>(IF(ISERROR(VLOOKUP($F$26,Предпосылки!$A$379:$K$384,HLOOKUP(AC13,Предпосылки!$C$379:$K$380,2),FALSE))=TRUE,0,VLOOKUP($F$26,Предпосылки!$A$379:$K$384,HLOOKUP(AC13,Предпосылки!$C$379:$K$380,2),FALSE))*((AC$12+1-AC$11)/IF(MOD(YEAR(AC$12),4),365,366)))+100%</f>
        <v>1.0107205479452055</v>
      </c>
      <c r="AD26" s="201">
        <f>(IF(ISERROR(VLOOKUP($F$26,Предпосылки!$A$379:$K$384,HLOOKUP(AD13,Предпосылки!$C$379:$K$380,2),FALSE))=TRUE,0,VLOOKUP($F$26,Предпосылки!$A$379:$K$384,HLOOKUP(AD13,Предпосылки!$C$379:$K$380,2),FALSE))*((AD$12+1-AD$11)/IF(MOD(YEAR(AD$12),4),365,366)))+100%</f>
        <v>1.0108383561643837</v>
      </c>
      <c r="AE26" s="201">
        <f>(IF(ISERROR(VLOOKUP($F$26,Предпосылки!$A$379:$K$384,HLOOKUP(AE13,Предпосылки!$C$379:$K$380,2),FALSE))=TRUE,0,VLOOKUP($F$26,Предпосылки!$A$379:$K$384,HLOOKUP(AE13,Предпосылки!$C$379:$K$380,2),FALSE))*((AE$12+1-AE$11)/IF(MOD(YEAR(AE$12),4),365,366)))+100%</f>
        <v>1.0108383561643837</v>
      </c>
      <c r="AF26" s="201">
        <f>(IF(ISERROR(VLOOKUP($F$26,Предпосылки!$A$379:$K$384,HLOOKUP(AF13,Предпосылки!$C$379:$K$380,2),FALSE))=TRUE,0,VLOOKUP($F$26,Предпосылки!$A$379:$K$384,HLOOKUP(AF13,Предпосылки!$C$379:$K$380,2),FALSE))*((AF$12+1-AF$11)/IF(MOD(YEAR(AF$12),4),365,366)))+100%</f>
        <v>1.0106027397260273</v>
      </c>
      <c r="AG26" s="201">
        <f>(IF(ISERROR(VLOOKUP($F$26,Предпосылки!$A$379:$K$384,HLOOKUP(AG13,Предпосылки!$C$379:$K$380,2),FALSE))=TRUE,0,VLOOKUP($F$26,Предпосылки!$A$379:$K$384,HLOOKUP(AG13,Предпосылки!$C$379:$K$380,2),FALSE))*((AG$12+1-AG$11)/IF(MOD(YEAR(AG$12),4),365,366)))+100%</f>
        <v>1.0107205479452055</v>
      </c>
      <c r="AH26" s="201">
        <f>(IF(ISERROR(VLOOKUP($F$26,Предпосылки!$A$379:$K$384,HLOOKUP(AH13,Предпосылки!$C$379:$K$380,2),FALSE))=TRUE,0,VLOOKUP($F$26,Предпосылки!$A$379:$K$384,HLOOKUP(AH13,Предпосылки!$C$379:$K$380,2),FALSE))*((AH$12+1-AH$11)/IF(MOD(YEAR(AH$12),4),365,366)))+100%</f>
        <v>1.0108383561643837</v>
      </c>
      <c r="AI26" s="201">
        <f>(IF(ISERROR(VLOOKUP($F$26,Предпосылки!$A$379:$K$384,HLOOKUP(AI13,Предпосылки!$C$379:$K$380,2),FALSE))=TRUE,0,VLOOKUP($F$26,Предпосылки!$A$379:$K$384,HLOOKUP(AI13,Предпосылки!$C$379:$K$380,2),FALSE))*((AI$12+1-AI$11)/IF(MOD(YEAR(AI$12),4),365,366)))+100%</f>
        <v>1.0108383561643837</v>
      </c>
      <c r="AJ26" s="201">
        <f>(IF(ISERROR(VLOOKUP($F$26,Предпосылки!$A$379:$K$384,HLOOKUP(AJ13,Предпосылки!$C$379:$K$380,2),FALSE))=TRUE,0,VLOOKUP($F$26,Предпосылки!$A$379:$K$384,HLOOKUP(AJ13,Предпосылки!$C$379:$K$380,2),FALSE))*((AJ$12+1-AJ$11)/IF(MOD(YEAR(AJ$12),4),365,366)))+100%</f>
        <v>1.010691256830601</v>
      </c>
      <c r="AK26" s="201">
        <f>(IF(ISERROR(VLOOKUP($F$26,Предпосылки!$A$379:$K$384,HLOOKUP(AK13,Предпосылки!$C$379:$K$380,2),FALSE))=TRUE,0,VLOOKUP($F$26,Предпосылки!$A$379:$K$384,HLOOKUP(AK13,Предпосылки!$C$379:$K$380,2),FALSE))*((AK$12+1-AK$11)/IF(MOD(YEAR(AK$12),4),365,366)))+100%</f>
        <v>1.010691256830601</v>
      </c>
      <c r="AL26" s="201">
        <f>(IF(ISERROR(VLOOKUP($F$26,Предпосылки!$A$379:$K$384,HLOOKUP(AL13,Предпосылки!$C$379:$K$380,2),FALSE))=TRUE,0,VLOOKUP($F$26,Предпосылки!$A$379:$K$384,HLOOKUP(AL13,Предпосылки!$C$379:$K$380,2),FALSE))*((AL$12+1-AL$11)/IF(MOD(YEAR(AL$12),4),365,366)))+100%</f>
        <v>1.0108087431693988</v>
      </c>
      <c r="AM26" s="201">
        <f>(IF(ISERROR(VLOOKUP($F$26,Предпосылки!$A$379:$K$384,HLOOKUP(AM13,Предпосылки!$C$379:$K$380,2),FALSE))=TRUE,0,VLOOKUP($F$26,Предпосылки!$A$379:$K$384,HLOOKUP(AM13,Предпосылки!$C$379:$K$380,2),FALSE))*((AM$12+1-AM$11)/IF(MOD(YEAR(AM$12),4),365,366)))+100%</f>
        <v>1.0108087431693988</v>
      </c>
      <c r="AN26" s="201">
        <f>(IF(ISERROR(VLOOKUP($F$26,Предпосылки!$A$379:$K$384,HLOOKUP(AN13,Предпосылки!$C$379:$K$380,2),FALSE))=TRUE,0,VLOOKUP($F$26,Предпосылки!$A$379:$K$384,HLOOKUP(AN13,Предпосылки!$C$379:$K$380,2),FALSE))*((AN$12+1-AN$11)/IF(MOD(YEAR(AN$12),4),365,366)))+100%</f>
        <v>1.0106027397260273</v>
      </c>
      <c r="AO26" s="201">
        <f>(IF(ISERROR(VLOOKUP($F$26,Предпосылки!$A$379:$K$384,HLOOKUP(AO13,Предпосылки!$C$379:$K$380,2),FALSE))=TRUE,0,VLOOKUP($F$26,Предпосылки!$A$379:$K$384,HLOOKUP(AO13,Предпосылки!$C$379:$K$380,2),FALSE))*((AO$12+1-AO$11)/IF(MOD(YEAR(AO$12),4),365,366)))+100%</f>
        <v>1.0107205479452055</v>
      </c>
      <c r="AP26" s="60"/>
      <c r="AQ26" s="60"/>
      <c r="AR26" s="60"/>
      <c r="AS26" s="60"/>
      <c r="AT26" s="60"/>
    </row>
    <row r="27" spans="6:46" ht="14.25" customHeight="1">
      <c r="H27" s="139" t="s">
        <v>312</v>
      </c>
      <c r="I27" s="140" t="s">
        <v>392</v>
      </c>
      <c r="J27" s="141" t="s">
        <v>392</v>
      </c>
      <c r="K27" s="201">
        <v>1</v>
      </c>
      <c r="L27" s="201">
        <f>ROUND(K27*L26,4)</f>
        <v>1</v>
      </c>
      <c r="M27" s="201">
        <f t="shared" ref="M27" si="35">ROUND(L27*M26,4)</f>
        <v>1</v>
      </c>
      <c r="N27" s="201">
        <f t="shared" ref="N27" si="36">ROUND(M27*N26,4)</f>
        <v>1</v>
      </c>
      <c r="O27" s="201">
        <f t="shared" ref="O27" si="37">ROUND(N27*O26,4)</f>
        <v>1</v>
      </c>
      <c r="P27" s="201">
        <f t="shared" ref="P27" si="38">ROUND(O27*P26,4)</f>
        <v>1.0136000000000001</v>
      </c>
      <c r="Q27" s="201">
        <f t="shared" ref="Q27" si="39">ROUND(P27*Q26,4)</f>
        <v>1.0275000000000001</v>
      </c>
      <c r="R27" s="201">
        <f t="shared" ref="R27" si="40">ROUND(Q27*R26,4)</f>
        <v>1.0417000000000001</v>
      </c>
      <c r="S27" s="201">
        <f t="shared" ref="S27" si="41">ROUND(R27*S26,4)</f>
        <v>1.0561</v>
      </c>
      <c r="T27" s="201">
        <f t="shared" ref="T27" si="42">ROUND(S27*T26,4)</f>
        <v>1.0673999999999999</v>
      </c>
      <c r="U27" s="201">
        <f t="shared" ref="U27" si="43">ROUND(T27*U26,4)</f>
        <v>1.0788</v>
      </c>
      <c r="V27" s="201">
        <f t="shared" ref="V27" si="44">ROUND(U27*V26,4)</f>
        <v>1.0905</v>
      </c>
      <c r="W27" s="201">
        <f t="shared" ref="W27" si="45">ROUND(V27*W26,4)</f>
        <v>1.1023000000000001</v>
      </c>
      <c r="X27" s="201">
        <f t="shared" ref="X27" si="46">ROUND(W27*X26,4)</f>
        <v>1.1140000000000001</v>
      </c>
      <c r="Y27" s="201">
        <f t="shared" ref="Y27" si="47">ROUND(X27*Y26,4)</f>
        <v>1.1258999999999999</v>
      </c>
      <c r="Z27" s="201">
        <f t="shared" ref="Z27" si="48">ROUND(Y27*Z26,4)</f>
        <v>1.1380999999999999</v>
      </c>
      <c r="AA27" s="201">
        <f t="shared" ref="AA27" si="49">ROUND(Z27*AA26,4)</f>
        <v>1.1504000000000001</v>
      </c>
      <c r="AB27" s="201">
        <f t="shared" ref="AB27" si="50">ROUND(AA27*AB26,4)</f>
        <v>1.1626000000000001</v>
      </c>
      <c r="AC27" s="201">
        <f t="shared" ref="AC27" si="51">ROUND(AB27*AC26,4)</f>
        <v>1.1751</v>
      </c>
      <c r="AD27" s="201">
        <f t="shared" ref="AD27" si="52">ROUND(AC27*AD26,4)</f>
        <v>1.1878</v>
      </c>
      <c r="AE27" s="201">
        <f t="shared" ref="AE27" si="53">ROUND(AD27*AE26,4)</f>
        <v>1.2007000000000001</v>
      </c>
      <c r="AF27" s="201">
        <f t="shared" ref="AF27" si="54">ROUND(AE27*AF26,4)</f>
        <v>1.2134</v>
      </c>
      <c r="AG27" s="201">
        <f t="shared" ref="AG27" si="55">ROUND(AF27*AG26,4)</f>
        <v>1.2263999999999999</v>
      </c>
      <c r="AH27" s="201">
        <f t="shared" ref="AH27" si="56">ROUND(AG27*AH26,4)</f>
        <v>1.2397</v>
      </c>
      <c r="AI27" s="201">
        <f t="shared" ref="AI27" si="57">ROUND(AH27*AI26,4)</f>
        <v>1.2531000000000001</v>
      </c>
      <c r="AJ27" s="201">
        <f t="shared" ref="AJ27" si="58">ROUND(AI27*AJ26,4)</f>
        <v>1.2665</v>
      </c>
      <c r="AK27" s="201">
        <f t="shared" ref="AK27" si="59">ROUND(AJ27*AK26,4)</f>
        <v>1.28</v>
      </c>
      <c r="AL27" s="201">
        <f t="shared" ref="AL27" si="60">ROUND(AK27*AL26,4)</f>
        <v>1.2938000000000001</v>
      </c>
      <c r="AM27" s="201">
        <f t="shared" ref="AM27" si="61">ROUND(AL27*AM26,4)</f>
        <v>1.3078000000000001</v>
      </c>
      <c r="AN27" s="201">
        <f t="shared" ref="AN27" si="62">ROUND(AM27*AN26,4)</f>
        <v>1.3217000000000001</v>
      </c>
      <c r="AO27" s="201">
        <f t="shared" ref="AO27" si="63">ROUND(AN27*AO26,4)</f>
        <v>1.3359000000000001</v>
      </c>
      <c r="AP27" s="60"/>
      <c r="AQ27" s="60"/>
      <c r="AR27" s="60"/>
      <c r="AS27" s="60"/>
      <c r="AT27" s="60"/>
    </row>
    <row r="28" spans="6:46" ht="14.25" customHeight="1" outlineLevel="1">
      <c r="F28" s="1">
        <v>4</v>
      </c>
      <c r="H28" s="139" t="s">
        <v>313</v>
      </c>
      <c r="I28" s="140"/>
      <c r="J28" s="141"/>
      <c r="K28" s="201">
        <v>1</v>
      </c>
      <c r="L28" s="201">
        <f>(IF(ISERROR(VLOOKUP($F$28,Предпосылки!$A$379:$K$384,HLOOKUP(L13,Предпосылки!$C$379:$K$380,2),FALSE))=TRUE,0,VLOOKUP($F$28,Предпосылки!$A$379:$K$384,HLOOKUP(L13,Предпосылки!$C$379:$K$380,2),FALSE))*((L$12+1-L$11)/IF(MOD(YEAR(L$12),4),365,366)))+100%</f>
        <v>1</v>
      </c>
      <c r="M28" s="201">
        <f>(IF(ISERROR(VLOOKUP($F$28,Предпосылки!$A$379:$K$384,HLOOKUP(M13,Предпосылки!$C$379:$K$380,2),FALSE))=TRUE,0,VLOOKUP($F$28,Предпосылки!$A$379:$K$384,HLOOKUP(M13,Предпосылки!$C$379:$K$380,2),FALSE))*((M$12+1-M$11)/IF(MOD(YEAR(M$12),4),365,366)))+100%</f>
        <v>1</v>
      </c>
      <c r="N28" s="201">
        <f>(IF(ISERROR(VLOOKUP($F$28,Предпосылки!$A$379:$K$384,HLOOKUP(N13,Предпосылки!$C$379:$K$380,2),FALSE))=TRUE,0,VLOOKUP($F$28,Предпосылки!$A$379:$K$384,HLOOKUP(N13,Предпосылки!$C$379:$K$380,2),FALSE))*((N$12+1-N$11)/IF(MOD(YEAR(N$12),4),365,366)))+100%</f>
        <v>1</v>
      </c>
      <c r="O28" s="201">
        <f>(IF(ISERROR(VLOOKUP($F$28,Предпосылки!$A$379:$K$384,HLOOKUP(O13,Предпосылки!$C$379:$K$380,2),FALSE))=TRUE,0,VLOOKUP($F$28,Предпосылки!$A$379:$K$384,HLOOKUP(O13,Предпосылки!$C$379:$K$380,2),FALSE))*((O$12+1-O$11)/IF(MOD(YEAR(O$12),4),365,366)))+100%</f>
        <v>1</v>
      </c>
      <c r="P28" s="201">
        <f>(IF(ISERROR(VLOOKUP($F$28,Предпосылки!$A$379:$K$384,HLOOKUP(P13,Предпосылки!$C$379:$K$380,2),FALSE))=TRUE,0,VLOOKUP($F$28,Предпосылки!$A$379:$K$384,HLOOKUP(P13,Предпосылки!$C$379:$K$380,2),FALSE))*((P$12+1-P$11)/IF(MOD(YEAR(P$12),4),365,366)))+100%</f>
        <v>1.0197260273972604</v>
      </c>
      <c r="Q28" s="201">
        <f>(IF(ISERROR(VLOOKUP($F$28,Предпосылки!$A$379:$K$384,HLOOKUP(Q13,Предпосылки!$C$379:$K$380,2),FALSE))=TRUE,0,VLOOKUP($F$28,Предпосылки!$A$379:$K$384,HLOOKUP(Q13,Предпосылки!$C$379:$K$380,2),FALSE))*((Q$12+1-Q$11)/IF(MOD(YEAR(Q$12),4),365,366)))+100%</f>
        <v>1.019945205479452</v>
      </c>
      <c r="R28" s="201">
        <f>(IF(ISERROR(VLOOKUP($F$28,Предпосылки!$A$379:$K$384,HLOOKUP(R13,Предпосылки!$C$379:$K$380,2),FALSE))=TRUE,0,VLOOKUP($F$28,Предпосылки!$A$379:$K$384,HLOOKUP(R13,Предпосылки!$C$379:$K$380,2),FALSE))*((R$12+1-R$11)/IF(MOD(YEAR(R$12),4),365,366)))+100%</f>
        <v>1.0201643835616439</v>
      </c>
      <c r="S28" s="201">
        <f>(IF(ISERROR(VLOOKUP($F$28,Предпосылки!$A$379:$K$384,HLOOKUP(S13,Предпосылки!$C$379:$K$380,2),FALSE))=TRUE,0,VLOOKUP($F$28,Предпосылки!$A$379:$K$384,HLOOKUP(S13,Предпосылки!$C$379:$K$380,2),FALSE))*((S$12+1-S$11)/IF(MOD(YEAR(S$12),4),365,366)))+100%</f>
        <v>1.0201643835616439</v>
      </c>
      <c r="T28" s="201">
        <f>(IF(ISERROR(VLOOKUP($F$28,Предпосылки!$A$379:$K$384,HLOOKUP(T13,Предпосылки!$C$379:$K$380,2),FALSE))=TRUE,0,VLOOKUP($F$28,Предпосылки!$A$379:$K$384,HLOOKUP(T13,Предпосылки!$C$379:$K$380,2),FALSE))*((T$12+1-T$11)/IF(MOD(YEAR(T$12),4),365,366)))+100%</f>
        <v>1.0169071038251367</v>
      </c>
      <c r="U28" s="201">
        <f>(IF(ISERROR(VLOOKUP($F$28,Предпосылки!$A$379:$K$384,HLOOKUP(U13,Предпосылки!$C$379:$K$380,2),FALSE))=TRUE,0,VLOOKUP($F$28,Предпосылки!$A$379:$K$384,HLOOKUP(U13,Предпосылки!$C$379:$K$380,2),FALSE))*((U$12+1-U$11)/IF(MOD(YEAR(U$12),4),365,366)))+100%</f>
        <v>1.0169071038251367</v>
      </c>
      <c r="V28" s="201">
        <f>(IF(ISERROR(VLOOKUP($F$28,Предпосылки!$A$379:$K$384,HLOOKUP(V13,Предпосылки!$C$379:$K$380,2),FALSE))=TRUE,0,VLOOKUP($F$28,Предпосылки!$A$379:$K$384,HLOOKUP(V13,Предпосылки!$C$379:$K$380,2),FALSE))*((V$12+1-V$11)/IF(MOD(YEAR(V$12),4),365,366)))+100%</f>
        <v>1.0170928961748633</v>
      </c>
      <c r="W28" s="201">
        <f>(IF(ISERROR(VLOOKUP($F$28,Предпосылки!$A$379:$K$384,HLOOKUP(W13,Предпосылки!$C$379:$K$380,2),FALSE))=TRUE,0,VLOOKUP($F$28,Предпосылки!$A$379:$K$384,HLOOKUP(W13,Предпосылки!$C$379:$K$380,2),FALSE))*((W$12+1-W$11)/IF(MOD(YEAR(W$12),4),365,366)))+100%</f>
        <v>1.0170928961748633</v>
      </c>
      <c r="X28" s="201">
        <f>(IF(ISERROR(VLOOKUP($F$28,Предпосылки!$A$379:$K$384,HLOOKUP(X13,Предпосылки!$C$379:$K$380,2),FALSE))=TRUE,0,VLOOKUP($F$28,Предпосылки!$A$379:$K$384,HLOOKUP(X13,Предпосылки!$C$379:$K$380,2),FALSE))*((X$12+1-X$11)/IF(MOD(YEAR(X$12),4),365,366)))+100%</f>
        <v>1.0167671232876712</v>
      </c>
      <c r="Y28" s="201">
        <f>(IF(ISERROR(VLOOKUP($F$28,Предпосылки!$A$379:$K$384,HLOOKUP(Y13,Предпосылки!$C$379:$K$380,2),FALSE))=TRUE,0,VLOOKUP($F$28,Предпосылки!$A$379:$K$384,HLOOKUP(Y13,Предпосылки!$C$379:$K$380,2),FALSE))*((Y$12+1-Y$11)/IF(MOD(YEAR(Y$12),4),365,366)))+100%</f>
        <v>1.0169534246575342</v>
      </c>
      <c r="Z28" s="201">
        <f>(IF(ISERROR(VLOOKUP($F$28,Предпосылки!$A$379:$K$384,HLOOKUP(Z13,Предпосылки!$C$379:$K$380,2),FALSE))=TRUE,0,VLOOKUP($F$28,Предпосылки!$A$379:$K$384,HLOOKUP(Z13,Предпосылки!$C$379:$K$380,2),FALSE))*((Z$12+1-Z$11)/IF(MOD(YEAR(Z$12),4),365,366)))+100%</f>
        <v>1.0171397260273973</v>
      </c>
      <c r="AA28" s="201">
        <f>(IF(ISERROR(VLOOKUP($F$28,Предпосылки!$A$379:$K$384,HLOOKUP(AA13,Предпосылки!$C$379:$K$380,2),FALSE))=TRUE,0,VLOOKUP($F$28,Предпосылки!$A$379:$K$384,HLOOKUP(AA13,Предпосылки!$C$379:$K$380,2),FALSE))*((AA$12+1-AA$11)/IF(MOD(YEAR(AA$12),4),365,366)))+100%</f>
        <v>1.0171397260273973</v>
      </c>
      <c r="AB28" s="201">
        <f>(IF(ISERROR(VLOOKUP($F$28,Предпосылки!$A$379:$K$384,HLOOKUP(AB13,Предпосылки!$C$379:$K$380,2),FALSE))=TRUE,0,VLOOKUP($F$28,Предпосылки!$A$379:$K$384,HLOOKUP(AB13,Предпосылки!$C$379:$K$380,2),FALSE))*((AB$12+1-AB$11)/IF(MOD(YEAR(AB$12),4),365,366)))+100%</f>
        <v>1.0167671232876712</v>
      </c>
      <c r="AC28" s="201">
        <f>(IF(ISERROR(VLOOKUP($F$28,Предпосылки!$A$379:$K$384,HLOOKUP(AC13,Предпосылки!$C$379:$K$380,2),FALSE))=TRUE,0,VLOOKUP($F$28,Предпосылки!$A$379:$K$384,HLOOKUP(AC13,Предпосылки!$C$379:$K$380,2),FALSE))*((AC$12+1-AC$11)/IF(MOD(YEAR(AC$12),4),365,366)))+100%</f>
        <v>1.0169534246575342</v>
      </c>
      <c r="AD28" s="201">
        <f>(IF(ISERROR(VLOOKUP($F$28,Предпосылки!$A$379:$K$384,HLOOKUP(AD13,Предпосылки!$C$379:$K$380,2),FALSE))=TRUE,0,VLOOKUP($F$28,Предпосылки!$A$379:$K$384,HLOOKUP(AD13,Предпосылки!$C$379:$K$380,2),FALSE))*((AD$12+1-AD$11)/IF(MOD(YEAR(AD$12),4),365,366)))+100%</f>
        <v>1.0171397260273973</v>
      </c>
      <c r="AE28" s="201">
        <f>(IF(ISERROR(VLOOKUP($F$28,Предпосылки!$A$379:$K$384,HLOOKUP(AE13,Предпосылки!$C$379:$K$380,2),FALSE))=TRUE,0,VLOOKUP($F$28,Предпосылки!$A$379:$K$384,HLOOKUP(AE13,Предпосылки!$C$379:$K$380,2),FALSE))*((AE$12+1-AE$11)/IF(MOD(YEAR(AE$12),4),365,366)))+100%</f>
        <v>1.0171397260273973</v>
      </c>
      <c r="AF28" s="201">
        <f>(IF(ISERROR(VLOOKUP($F$28,Предпосылки!$A$379:$K$384,HLOOKUP(AF13,Предпосылки!$C$379:$K$380,2),FALSE))=TRUE,0,VLOOKUP($F$28,Предпосылки!$A$379:$K$384,HLOOKUP(AF13,Предпосылки!$C$379:$K$380,2),FALSE))*((AF$12+1-AF$11)/IF(MOD(YEAR(AF$12),4),365,366)))+100%</f>
        <v>1.0167671232876712</v>
      </c>
      <c r="AG28" s="201">
        <f>(IF(ISERROR(VLOOKUP($F$28,Предпосылки!$A$379:$K$384,HLOOKUP(AG13,Предпосылки!$C$379:$K$380,2),FALSE))=TRUE,0,VLOOKUP($F$28,Предпосылки!$A$379:$K$384,HLOOKUP(AG13,Предпосылки!$C$379:$K$380,2),FALSE))*((AG$12+1-AG$11)/IF(MOD(YEAR(AG$12),4),365,366)))+100%</f>
        <v>1.0169534246575342</v>
      </c>
      <c r="AH28" s="201">
        <f>(IF(ISERROR(VLOOKUP($F$28,Предпосылки!$A$379:$K$384,HLOOKUP(AH13,Предпосылки!$C$379:$K$380,2),FALSE))=TRUE,0,VLOOKUP($F$28,Предпосылки!$A$379:$K$384,HLOOKUP(AH13,Предпосылки!$C$379:$K$380,2),FALSE))*((AH$12+1-AH$11)/IF(MOD(YEAR(AH$12),4),365,366)))+100%</f>
        <v>1.0171397260273973</v>
      </c>
      <c r="AI28" s="201">
        <f>(IF(ISERROR(VLOOKUP($F$28,Предпосылки!$A$379:$K$384,HLOOKUP(AI13,Предпосылки!$C$379:$K$380,2),FALSE))=TRUE,0,VLOOKUP($F$28,Предпосылки!$A$379:$K$384,HLOOKUP(AI13,Предпосылки!$C$379:$K$380,2),FALSE))*((AI$12+1-AI$11)/IF(MOD(YEAR(AI$12),4),365,366)))+100%</f>
        <v>1.0171397260273973</v>
      </c>
      <c r="AJ28" s="201">
        <f>(IF(ISERROR(VLOOKUP($F$28,Предпосылки!$A$379:$K$384,HLOOKUP(AJ13,Предпосылки!$C$379:$K$380,2),FALSE))=TRUE,0,VLOOKUP($F$28,Предпосылки!$A$379:$K$384,HLOOKUP(AJ13,Предпосылки!$C$379:$K$380,2),FALSE))*((AJ$12+1-AJ$11)/IF(MOD(YEAR(AJ$12),4),365,366)))+100%</f>
        <v>1.0169071038251367</v>
      </c>
      <c r="AK28" s="201">
        <f>(IF(ISERROR(VLOOKUP($F$28,Предпосылки!$A$379:$K$384,HLOOKUP(AK13,Предпосылки!$C$379:$K$380,2),FALSE))=TRUE,0,VLOOKUP($F$28,Предпосылки!$A$379:$K$384,HLOOKUP(AK13,Предпосылки!$C$379:$K$380,2),FALSE))*((AK$12+1-AK$11)/IF(MOD(YEAR(AK$12),4),365,366)))+100%</f>
        <v>1.0169071038251367</v>
      </c>
      <c r="AL28" s="201">
        <f>(IF(ISERROR(VLOOKUP($F$28,Предпосылки!$A$379:$K$384,HLOOKUP(AL13,Предпосылки!$C$379:$K$380,2),FALSE))=TRUE,0,VLOOKUP($F$28,Предпосылки!$A$379:$K$384,HLOOKUP(AL13,Предпосылки!$C$379:$K$380,2),FALSE))*((AL$12+1-AL$11)/IF(MOD(YEAR(AL$12),4),365,366)))+100%</f>
        <v>1.0170928961748633</v>
      </c>
      <c r="AM28" s="201">
        <f>(IF(ISERROR(VLOOKUP($F$28,Предпосылки!$A$379:$K$384,HLOOKUP(AM13,Предпосылки!$C$379:$K$380,2),FALSE))=TRUE,0,VLOOKUP($F$28,Предпосылки!$A$379:$K$384,HLOOKUP(AM13,Предпосылки!$C$379:$K$380,2),FALSE))*((AM$12+1-AM$11)/IF(MOD(YEAR(AM$12),4),365,366)))+100%</f>
        <v>1.0170928961748633</v>
      </c>
      <c r="AN28" s="201">
        <f>(IF(ISERROR(VLOOKUP($F$28,Предпосылки!$A$379:$K$384,HLOOKUP(AN13,Предпосылки!$C$379:$K$380,2),FALSE))=TRUE,0,VLOOKUP($F$28,Предпосылки!$A$379:$K$384,HLOOKUP(AN13,Предпосылки!$C$379:$K$380,2),FALSE))*((AN$12+1-AN$11)/IF(MOD(YEAR(AN$12),4),365,366)))+100%</f>
        <v>1.0167671232876712</v>
      </c>
      <c r="AO28" s="201">
        <f>(IF(ISERROR(VLOOKUP($F$28,Предпосылки!$A$379:$K$384,HLOOKUP(AO13,Предпосылки!$C$379:$K$380,2),FALSE))=TRUE,0,VLOOKUP($F$28,Предпосылки!$A$379:$K$384,HLOOKUP(AO13,Предпосылки!$C$379:$K$380,2),FALSE))*((AO$12+1-AO$11)/IF(MOD(YEAR(AO$12),4),365,366)))+100%</f>
        <v>1.0169534246575342</v>
      </c>
      <c r="AP28" s="60"/>
      <c r="AQ28" s="60"/>
      <c r="AR28" s="60"/>
      <c r="AS28" s="60"/>
      <c r="AT28" s="60"/>
    </row>
    <row r="29" spans="6:46" ht="14.25" customHeight="1">
      <c r="H29" s="139" t="s">
        <v>314</v>
      </c>
      <c r="I29" s="140" t="s">
        <v>392</v>
      </c>
      <c r="J29" s="141" t="s">
        <v>392</v>
      </c>
      <c r="K29" s="201">
        <v>1</v>
      </c>
      <c r="L29" s="201">
        <f>ROUND(K29*L28,4)</f>
        <v>1</v>
      </c>
      <c r="M29" s="201">
        <f t="shared" ref="M29" si="64">ROUND(L29*M28,4)</f>
        <v>1</v>
      </c>
      <c r="N29" s="201">
        <f t="shared" ref="N29" si="65">ROUND(M29*N28,4)</f>
        <v>1</v>
      </c>
      <c r="O29" s="201">
        <f t="shared" ref="O29" si="66">ROUND(N29*O28,4)</f>
        <v>1</v>
      </c>
      <c r="P29" s="201">
        <f t="shared" ref="P29" si="67">ROUND(O29*P28,4)</f>
        <v>1.0197000000000001</v>
      </c>
      <c r="Q29" s="201">
        <f t="shared" ref="Q29" si="68">ROUND(P29*Q28,4)</f>
        <v>1.04</v>
      </c>
      <c r="R29" s="201">
        <f t="shared" ref="R29" si="69">ROUND(Q29*R28,4)</f>
        <v>1.0609999999999999</v>
      </c>
      <c r="S29" s="201">
        <f t="shared" ref="S29" si="70">ROUND(R29*S28,4)</f>
        <v>1.0824</v>
      </c>
      <c r="T29" s="201">
        <f t="shared" ref="T29" si="71">ROUND(S29*T28,4)</f>
        <v>1.1007</v>
      </c>
      <c r="U29" s="201">
        <f t="shared" ref="U29" si="72">ROUND(T29*U28,4)</f>
        <v>1.1193</v>
      </c>
      <c r="V29" s="201">
        <f t="shared" ref="V29" si="73">ROUND(U29*V28,4)</f>
        <v>1.1384000000000001</v>
      </c>
      <c r="W29" s="201">
        <f t="shared" ref="W29" si="74">ROUND(V29*W28,4)</f>
        <v>1.1578999999999999</v>
      </c>
      <c r="X29" s="201">
        <f t="shared" ref="X29" si="75">ROUND(W29*X28,4)</f>
        <v>1.1773</v>
      </c>
      <c r="Y29" s="201">
        <f t="shared" ref="Y29" si="76">ROUND(X29*Y28,4)</f>
        <v>1.1973</v>
      </c>
      <c r="Z29" s="201">
        <f t="shared" ref="Z29" si="77">ROUND(Y29*Z28,4)</f>
        <v>1.2178</v>
      </c>
      <c r="AA29" s="201">
        <f t="shared" ref="AA29" si="78">ROUND(Z29*AA28,4)</f>
        <v>1.2386999999999999</v>
      </c>
      <c r="AB29" s="201">
        <f t="shared" ref="AB29" si="79">ROUND(AA29*AB28,4)</f>
        <v>1.2595000000000001</v>
      </c>
      <c r="AC29" s="201">
        <f t="shared" ref="AC29" si="80">ROUND(AB29*AC28,4)</f>
        <v>1.2808999999999999</v>
      </c>
      <c r="AD29" s="201">
        <f t="shared" ref="AD29" si="81">ROUND(AC29*AD28,4)</f>
        <v>1.3028999999999999</v>
      </c>
      <c r="AE29" s="201">
        <f t="shared" ref="AE29" si="82">ROUND(AD29*AE28,4)</f>
        <v>1.3251999999999999</v>
      </c>
      <c r="AF29" s="201">
        <f t="shared" ref="AF29" si="83">ROUND(AE29*AF28,4)</f>
        <v>1.3473999999999999</v>
      </c>
      <c r="AG29" s="201">
        <f t="shared" ref="AG29" si="84">ROUND(AF29*AG28,4)</f>
        <v>1.3702000000000001</v>
      </c>
      <c r="AH29" s="201">
        <f t="shared" ref="AH29" si="85">ROUND(AG29*AH28,4)</f>
        <v>1.3936999999999999</v>
      </c>
      <c r="AI29" s="201">
        <f t="shared" ref="AI29" si="86">ROUND(AH29*AI28,4)</f>
        <v>1.4176</v>
      </c>
      <c r="AJ29" s="201">
        <f t="shared" ref="AJ29" si="87">ROUND(AI29*AJ28,4)</f>
        <v>1.4416</v>
      </c>
      <c r="AK29" s="201">
        <f t="shared" ref="AK29" si="88">ROUND(AJ29*AK28,4)</f>
        <v>1.466</v>
      </c>
      <c r="AL29" s="201">
        <f t="shared" ref="AL29" si="89">ROUND(AK29*AL28,4)</f>
        <v>1.4911000000000001</v>
      </c>
      <c r="AM29" s="201">
        <f t="shared" ref="AM29" si="90">ROUND(AL29*AM28,4)</f>
        <v>1.5165999999999999</v>
      </c>
      <c r="AN29" s="201">
        <f t="shared" ref="AN29" si="91">ROUND(AM29*AN28,4)</f>
        <v>1.542</v>
      </c>
      <c r="AO29" s="201">
        <f t="shared" ref="AO29" si="92">ROUND(AN29*AO28,4)</f>
        <v>1.5681</v>
      </c>
      <c r="AP29" s="60"/>
      <c r="AQ29" s="60"/>
      <c r="AR29" s="60"/>
      <c r="AS29" s="60"/>
      <c r="AT29" s="60"/>
    </row>
    <row r="30" spans="6:46" ht="14.25" customHeight="1"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60"/>
      <c r="AS30" s="60"/>
      <c r="AT30" s="60"/>
    </row>
    <row r="31" spans="6:46" ht="31.5">
      <c r="H31" s="110" t="s">
        <v>72</v>
      </c>
      <c r="I31" s="60"/>
      <c r="J31" s="110"/>
      <c r="K31" s="110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</row>
    <row r="32" spans="6:46" ht="21">
      <c r="H32" s="61" t="s">
        <v>74</v>
      </c>
      <c r="I32" s="60"/>
      <c r="J32" s="61"/>
      <c r="K32" s="61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</row>
    <row r="33" spans="2:46" ht="21">
      <c r="B33" s="368" t="s">
        <v>419</v>
      </c>
      <c r="C33" s="368" t="s">
        <v>418</v>
      </c>
      <c r="D33" s="368" t="s">
        <v>417</v>
      </c>
      <c r="E33" s="368" t="s">
        <v>413</v>
      </c>
      <c r="F33" s="368" t="s">
        <v>414</v>
      </c>
      <c r="G33" s="211"/>
      <c r="H33" s="123" t="s">
        <v>75</v>
      </c>
      <c r="I33" s="124"/>
      <c r="J33" s="125"/>
      <c r="K33" s="125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59"/>
      <c r="AQ33" s="59"/>
      <c r="AR33" s="59"/>
      <c r="AS33" s="59"/>
      <c r="AT33" s="59"/>
    </row>
    <row r="34" spans="2:46">
      <c r="B34" s="368"/>
      <c r="C34" s="368"/>
      <c r="D34" s="368"/>
      <c r="E34" s="368"/>
      <c r="F34" s="368"/>
      <c r="G34" s="211"/>
      <c r="H34" s="136" t="s">
        <v>76</v>
      </c>
      <c r="I34" s="114"/>
      <c r="J34" s="114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60"/>
      <c r="AT34" s="60"/>
    </row>
    <row r="35" spans="2:46" ht="14.25" customHeight="1">
      <c r="B35" s="368"/>
      <c r="C35" s="368"/>
      <c r="D35" s="368"/>
      <c r="E35" s="368"/>
      <c r="F35" s="368"/>
      <c r="G35" s="211"/>
      <c r="H35" s="105" t="s">
        <v>233</v>
      </c>
      <c r="I35" s="107" t="s">
        <v>29</v>
      </c>
      <c r="J35" s="220">
        <f>SUMIF($L$19:$AO$19,1,L35:AO35)</f>
        <v>0</v>
      </c>
      <c r="K35" s="220">
        <f>SUMIF($L$18:$AO$18,1,L35:AO35)</f>
        <v>0</v>
      </c>
      <c r="L35" s="221">
        <f>ROUND(Предпосылки!D207*L23,2)</f>
        <v>0</v>
      </c>
      <c r="M35" s="221">
        <f>ROUND(Предпосылки!E207*M23,2)</f>
        <v>0</v>
      </c>
      <c r="N35" s="221">
        <f>ROUND(Предпосылки!F207*N23,2)</f>
        <v>0</v>
      </c>
      <c r="O35" s="221">
        <f>ROUND(Предпосылки!G207*O23,2)</f>
        <v>0</v>
      </c>
      <c r="P35" s="221">
        <f>ROUND(Предпосылки!H207*P23,2)</f>
        <v>0</v>
      </c>
      <c r="Q35" s="221">
        <f>ROUND(Предпосылки!I207*Q23,2)</f>
        <v>0</v>
      </c>
      <c r="R35" s="221">
        <f>ROUND(Предпосылки!J207*R23,2)</f>
        <v>0</v>
      </c>
      <c r="S35" s="221">
        <f>ROUND(Предпосылки!K207*S23,2)</f>
        <v>0</v>
      </c>
      <c r="T35" s="221">
        <f>ROUND(Предпосылки!L207*T23,2)</f>
        <v>0</v>
      </c>
      <c r="U35" s="221">
        <f>ROUND(Предпосылки!M207*U23,2)</f>
        <v>0</v>
      </c>
      <c r="V35" s="221">
        <f>ROUND(Предпосылки!N207*V23,2)</f>
        <v>0</v>
      </c>
      <c r="W35" s="221">
        <f>ROUND(Предпосылки!O207*W23,2)</f>
        <v>0</v>
      </c>
      <c r="X35" s="221">
        <f>ROUND(Предпосылки!P207*X23,2)</f>
        <v>0</v>
      </c>
      <c r="Y35" s="221">
        <f>ROUND(Предпосылки!Q207*Y23,2)</f>
        <v>0</v>
      </c>
      <c r="Z35" s="221">
        <f>ROUND(Предпосылки!R207*Z23,2)</f>
        <v>0</v>
      </c>
      <c r="AA35" s="221">
        <f>ROUND(Предпосылки!S207*AA23,2)</f>
        <v>0</v>
      </c>
      <c r="AB35" s="221">
        <f>ROUND(Предпосылки!T207*AB23,2)</f>
        <v>0</v>
      </c>
      <c r="AC35" s="221">
        <f>ROUND(Предпосылки!U207*AC23,2)</f>
        <v>0</v>
      </c>
      <c r="AD35" s="221">
        <f>ROUND(Предпосылки!V207*AD23,2)</f>
        <v>0</v>
      </c>
      <c r="AE35" s="221">
        <f>ROUND(Предпосылки!W207*AE23,2)</f>
        <v>0</v>
      </c>
      <c r="AF35" s="221">
        <f>ROUND(Предпосылки!X207*AF23,2)</f>
        <v>0</v>
      </c>
      <c r="AG35" s="221">
        <f>ROUND(Предпосылки!Y207*AG23,2)</f>
        <v>0</v>
      </c>
      <c r="AH35" s="221">
        <f>ROUND(Предпосылки!Z207*AH23,2)</f>
        <v>0</v>
      </c>
      <c r="AI35" s="221">
        <f>ROUND(Предпосылки!AA207*AI23,2)</f>
        <v>0</v>
      </c>
      <c r="AJ35" s="221">
        <f>ROUND(Предпосылки!AB207*AJ23,2)</f>
        <v>0</v>
      </c>
      <c r="AK35" s="221">
        <f>ROUND(Предпосылки!AC207*AK23,2)</f>
        <v>0</v>
      </c>
      <c r="AL35" s="221">
        <f>ROUND(Предпосылки!AD207*AL23,2)</f>
        <v>0</v>
      </c>
      <c r="AM35" s="221">
        <f>ROUND(Предпосылки!AE207*AM23,2)</f>
        <v>0</v>
      </c>
      <c r="AN35" s="221">
        <f>ROUND(Предпосылки!AF207*AN23,2)</f>
        <v>0</v>
      </c>
      <c r="AO35" s="221">
        <f>ROUND(Предпосылки!AG207*AO23,2)</f>
        <v>0</v>
      </c>
      <c r="AP35" s="60"/>
      <c r="AQ35" s="60"/>
      <c r="AR35" s="60"/>
      <c r="AS35" s="60"/>
      <c r="AT35" s="60"/>
    </row>
    <row r="36" spans="2:46" ht="14.25" customHeight="1">
      <c r="B36" s="368"/>
      <c r="C36" s="368"/>
      <c r="D36" s="368"/>
      <c r="E36" s="368"/>
      <c r="F36" s="368"/>
      <c r="G36" s="211"/>
      <c r="H36" s="105" t="s">
        <v>234</v>
      </c>
      <c r="I36" s="107" t="s">
        <v>29</v>
      </c>
      <c r="J36" s="220">
        <f>SUMIF($L$19:$AO$19,1,L36:AO36)</f>
        <v>4617.8680000000013</v>
      </c>
      <c r="K36" s="220">
        <f>SUMIF($L$18:$AO$18,1,L36:AO36)</f>
        <v>4617.8680000000013</v>
      </c>
      <c r="L36" s="221">
        <f>SUM(L37:L56)</f>
        <v>0</v>
      </c>
      <c r="M36" s="221">
        <f t="shared" ref="M36:AO36" si="93">SUM(M37:M56)</f>
        <v>0</v>
      </c>
      <c r="N36" s="221">
        <f t="shared" si="93"/>
        <v>0</v>
      </c>
      <c r="O36" s="221">
        <f t="shared" si="93"/>
        <v>4617.8680000000013</v>
      </c>
      <c r="P36" s="221">
        <f t="shared" si="93"/>
        <v>0</v>
      </c>
      <c r="Q36" s="221">
        <f t="shared" si="93"/>
        <v>0</v>
      </c>
      <c r="R36" s="221">
        <f t="shared" si="93"/>
        <v>0</v>
      </c>
      <c r="S36" s="221">
        <f t="shared" si="93"/>
        <v>0</v>
      </c>
      <c r="T36" s="221">
        <f t="shared" si="93"/>
        <v>0</v>
      </c>
      <c r="U36" s="221">
        <f t="shared" si="93"/>
        <v>0</v>
      </c>
      <c r="V36" s="221">
        <f t="shared" si="93"/>
        <v>0</v>
      </c>
      <c r="W36" s="221">
        <f t="shared" si="93"/>
        <v>0</v>
      </c>
      <c r="X36" s="221">
        <f t="shared" si="93"/>
        <v>0</v>
      </c>
      <c r="Y36" s="221">
        <f t="shared" si="93"/>
        <v>0</v>
      </c>
      <c r="Z36" s="221">
        <f t="shared" si="93"/>
        <v>0</v>
      </c>
      <c r="AA36" s="221">
        <f t="shared" si="93"/>
        <v>0</v>
      </c>
      <c r="AB36" s="221">
        <f t="shared" si="93"/>
        <v>0</v>
      </c>
      <c r="AC36" s="221">
        <f t="shared" si="93"/>
        <v>0</v>
      </c>
      <c r="AD36" s="221">
        <f t="shared" si="93"/>
        <v>0</v>
      </c>
      <c r="AE36" s="221">
        <f t="shared" si="93"/>
        <v>0</v>
      </c>
      <c r="AF36" s="221">
        <f t="shared" si="93"/>
        <v>0</v>
      </c>
      <c r="AG36" s="221">
        <f t="shared" si="93"/>
        <v>0</v>
      </c>
      <c r="AH36" s="221">
        <f t="shared" si="93"/>
        <v>0</v>
      </c>
      <c r="AI36" s="221">
        <f t="shared" si="93"/>
        <v>0</v>
      </c>
      <c r="AJ36" s="221">
        <f t="shared" si="93"/>
        <v>0</v>
      </c>
      <c r="AK36" s="221">
        <f t="shared" si="93"/>
        <v>0</v>
      </c>
      <c r="AL36" s="221">
        <f t="shared" si="93"/>
        <v>0</v>
      </c>
      <c r="AM36" s="221">
        <f t="shared" si="93"/>
        <v>0</v>
      </c>
      <c r="AN36" s="221">
        <f t="shared" si="93"/>
        <v>0</v>
      </c>
      <c r="AO36" s="221">
        <f t="shared" si="93"/>
        <v>0</v>
      </c>
      <c r="AP36" s="60"/>
      <c r="AQ36" s="60"/>
      <c r="AR36" s="60"/>
      <c r="AS36" s="60"/>
      <c r="AT36" s="60"/>
    </row>
    <row r="37" spans="2:46" ht="14.25" customHeight="1" outlineLevel="1">
      <c r="B37" s="1">
        <f>IF(C37=справочник!$A$16,D37*2.2%/4,0)</f>
        <v>76.967419262295095</v>
      </c>
      <c r="C37" s="1" t="str">
        <f>Предпосылки!J23</f>
        <v>да</v>
      </c>
      <c r="D37" s="1">
        <f>Предпосылки!L56/(1+Предпосылки!F23)</f>
        <v>13994.076229508199</v>
      </c>
      <c r="E37" s="206">
        <f>Предпосылки!H56-Предпосылки!M56</f>
        <v>0</v>
      </c>
      <c r="F37" s="36" t="str">
        <f>Предпосылки!H23</f>
        <v>2 кв 2026</v>
      </c>
      <c r="G37" s="140">
        <f>IF(ISERROR(HLOOKUP(F37,$L$14:$AO$16,3,FALSE))=TRUE,0,HLOOKUP(F37,$L$14:$AO$16,3,FALSE))</f>
        <v>2</v>
      </c>
      <c r="H37" s="207" t="str">
        <f>Предпосылки!B23</f>
        <v>Оборудование 1</v>
      </c>
      <c r="I37" s="204"/>
      <c r="J37" s="222"/>
      <c r="K37" s="222"/>
      <c r="L37" s="223">
        <f>IF($F37=L$15,$E37,0)</f>
        <v>0</v>
      </c>
      <c r="M37" s="223">
        <f t="shared" ref="M37:AO45" si="94">IF($F37=M$15,$E37,0)</f>
        <v>0</v>
      </c>
      <c r="N37" s="223">
        <f t="shared" si="94"/>
        <v>0</v>
      </c>
      <c r="O37" s="223">
        <f t="shared" si="94"/>
        <v>0</v>
      </c>
      <c r="P37" s="223">
        <f>IF($F37=P$15,$E37,0)</f>
        <v>0</v>
      </c>
      <c r="Q37" s="223">
        <f t="shared" si="94"/>
        <v>0</v>
      </c>
      <c r="R37" s="223">
        <f t="shared" si="94"/>
        <v>0</v>
      </c>
      <c r="S37" s="223">
        <f t="shared" si="94"/>
        <v>0</v>
      </c>
      <c r="T37" s="223">
        <f t="shared" si="94"/>
        <v>0</v>
      </c>
      <c r="U37" s="223">
        <f t="shared" si="94"/>
        <v>0</v>
      </c>
      <c r="V37" s="223">
        <f t="shared" si="94"/>
        <v>0</v>
      </c>
      <c r="W37" s="223">
        <f t="shared" si="94"/>
        <v>0</v>
      </c>
      <c r="X37" s="223">
        <f t="shared" si="94"/>
        <v>0</v>
      </c>
      <c r="Y37" s="223">
        <f t="shared" si="94"/>
        <v>0</v>
      </c>
      <c r="Z37" s="223">
        <f t="shared" si="94"/>
        <v>0</v>
      </c>
      <c r="AA37" s="223">
        <f t="shared" si="94"/>
        <v>0</v>
      </c>
      <c r="AB37" s="223">
        <f t="shared" si="94"/>
        <v>0</v>
      </c>
      <c r="AC37" s="223">
        <f t="shared" si="94"/>
        <v>0</v>
      </c>
      <c r="AD37" s="223">
        <f t="shared" si="94"/>
        <v>0</v>
      </c>
      <c r="AE37" s="223">
        <f t="shared" si="94"/>
        <v>0</v>
      </c>
      <c r="AF37" s="223">
        <f t="shared" si="94"/>
        <v>0</v>
      </c>
      <c r="AG37" s="223">
        <f t="shared" si="94"/>
        <v>0</v>
      </c>
      <c r="AH37" s="223">
        <f t="shared" si="94"/>
        <v>0</v>
      </c>
      <c r="AI37" s="223">
        <f t="shared" si="94"/>
        <v>0</v>
      </c>
      <c r="AJ37" s="223">
        <f t="shared" si="94"/>
        <v>0</v>
      </c>
      <c r="AK37" s="223">
        <f t="shared" si="94"/>
        <v>0</v>
      </c>
      <c r="AL37" s="223">
        <f t="shared" si="94"/>
        <v>0</v>
      </c>
      <c r="AM37" s="223">
        <f t="shared" si="94"/>
        <v>0</v>
      </c>
      <c r="AN37" s="223">
        <f t="shared" si="94"/>
        <v>0</v>
      </c>
      <c r="AO37" s="223">
        <f t="shared" si="94"/>
        <v>0</v>
      </c>
      <c r="AP37" s="60"/>
      <c r="AQ37" s="60"/>
      <c r="AR37" s="60"/>
      <c r="AS37" s="60"/>
      <c r="AT37" s="60"/>
    </row>
    <row r="38" spans="2:46" ht="14.25" customHeight="1" outlineLevel="1">
      <c r="B38" s="1">
        <f>IF(C38=справочник!$A$16,D38*2.2%/4,0)</f>
        <v>0</v>
      </c>
      <c r="C38" s="1" t="str">
        <f>Предпосылки!J24</f>
        <v>нет</v>
      </c>
      <c r="D38" s="1">
        <f>Предпосылки!L57/(1+Предпосылки!F24)</f>
        <v>1366.3934426229509</v>
      </c>
      <c r="E38" s="206">
        <f>Предпосылки!H57-Предпосылки!M57</f>
        <v>300.6099999999999</v>
      </c>
      <c r="F38" s="36" t="str">
        <f>Предпосылки!H24</f>
        <v>2 кв 2026</v>
      </c>
      <c r="G38" s="140">
        <f t="shared" ref="G38:G56" si="95">IF(ISERROR(HLOOKUP(F38,$L$14:$AO$16,3,FALSE))=TRUE,0,HLOOKUP(F38,$L$14:$AO$16,3,FALSE))</f>
        <v>2</v>
      </c>
      <c r="H38" s="207" t="str">
        <f>Предпосылки!B24</f>
        <v>Оборудование 2</v>
      </c>
      <c r="I38" s="204"/>
      <c r="J38" s="222"/>
      <c r="K38" s="222"/>
      <c r="L38" s="223">
        <f t="shared" ref="L38:AA56" si="96">IF($F38=L$15,$E38,0)</f>
        <v>0</v>
      </c>
      <c r="M38" s="223">
        <f t="shared" si="94"/>
        <v>0</v>
      </c>
      <c r="N38" s="223">
        <f t="shared" si="94"/>
        <v>0</v>
      </c>
      <c r="O38" s="223">
        <f t="shared" si="94"/>
        <v>300.6099999999999</v>
      </c>
      <c r="P38" s="223">
        <f t="shared" si="94"/>
        <v>0</v>
      </c>
      <c r="Q38" s="223">
        <f t="shared" si="94"/>
        <v>0</v>
      </c>
      <c r="R38" s="223">
        <f t="shared" si="94"/>
        <v>0</v>
      </c>
      <c r="S38" s="223">
        <f t="shared" si="94"/>
        <v>0</v>
      </c>
      <c r="T38" s="223">
        <f t="shared" si="94"/>
        <v>0</v>
      </c>
      <c r="U38" s="223">
        <f t="shared" si="94"/>
        <v>0</v>
      </c>
      <c r="V38" s="223">
        <f t="shared" si="94"/>
        <v>0</v>
      </c>
      <c r="W38" s="223">
        <f t="shared" si="94"/>
        <v>0</v>
      </c>
      <c r="X38" s="223">
        <f t="shared" si="94"/>
        <v>0</v>
      </c>
      <c r="Y38" s="223">
        <f t="shared" si="94"/>
        <v>0</v>
      </c>
      <c r="Z38" s="223">
        <f t="shared" si="94"/>
        <v>0</v>
      </c>
      <c r="AA38" s="223">
        <f t="shared" si="94"/>
        <v>0</v>
      </c>
      <c r="AB38" s="223">
        <f t="shared" si="94"/>
        <v>0</v>
      </c>
      <c r="AC38" s="223">
        <f t="shared" si="94"/>
        <v>0</v>
      </c>
      <c r="AD38" s="223">
        <f t="shared" si="94"/>
        <v>0</v>
      </c>
      <c r="AE38" s="223">
        <f t="shared" si="94"/>
        <v>0</v>
      </c>
      <c r="AF38" s="223">
        <f t="shared" si="94"/>
        <v>0</v>
      </c>
      <c r="AG38" s="223">
        <f t="shared" si="94"/>
        <v>0</v>
      </c>
      <c r="AH38" s="223">
        <f t="shared" si="94"/>
        <v>0</v>
      </c>
      <c r="AI38" s="223">
        <f t="shared" si="94"/>
        <v>0</v>
      </c>
      <c r="AJ38" s="223">
        <f t="shared" si="94"/>
        <v>0</v>
      </c>
      <c r="AK38" s="223">
        <f t="shared" si="94"/>
        <v>0</v>
      </c>
      <c r="AL38" s="223">
        <f t="shared" si="94"/>
        <v>0</v>
      </c>
      <c r="AM38" s="223">
        <f t="shared" si="94"/>
        <v>0</v>
      </c>
      <c r="AN38" s="223">
        <f t="shared" si="94"/>
        <v>0</v>
      </c>
      <c r="AO38" s="223">
        <f t="shared" si="94"/>
        <v>0</v>
      </c>
      <c r="AP38" s="60"/>
      <c r="AQ38" s="60"/>
      <c r="AR38" s="60"/>
      <c r="AS38" s="60"/>
      <c r="AT38" s="60"/>
    </row>
    <row r="39" spans="2:46" ht="14.25" customHeight="1" outlineLevel="1">
      <c r="B39" s="1">
        <f>IF(C39=справочник!$A$16,D39*2.2%/4,0)</f>
        <v>0</v>
      </c>
      <c r="C39" s="1" t="str">
        <f>Предпосылки!J25</f>
        <v>нет</v>
      </c>
      <c r="D39" s="1">
        <f>Предпосылки!L58/(1+Предпосылки!F25)</f>
        <v>1864.7540983606557</v>
      </c>
      <c r="E39" s="206">
        <f>Предпосылки!H58-Предпосылки!M58</f>
        <v>410.25</v>
      </c>
      <c r="F39" s="36" t="str">
        <f>Предпосылки!H25</f>
        <v>2 кв 2026</v>
      </c>
      <c r="G39" s="140">
        <f t="shared" si="95"/>
        <v>2</v>
      </c>
      <c r="H39" s="207" t="str">
        <f>Предпосылки!B25</f>
        <v>Оборудование 3</v>
      </c>
      <c r="I39" s="204"/>
      <c r="J39" s="222"/>
      <c r="K39" s="222"/>
      <c r="L39" s="223">
        <f t="shared" si="96"/>
        <v>0</v>
      </c>
      <c r="M39" s="223">
        <f t="shared" si="94"/>
        <v>0</v>
      </c>
      <c r="N39" s="223">
        <f t="shared" si="94"/>
        <v>0</v>
      </c>
      <c r="O39" s="223">
        <f t="shared" si="94"/>
        <v>410.25</v>
      </c>
      <c r="P39" s="223">
        <f t="shared" si="94"/>
        <v>0</v>
      </c>
      <c r="Q39" s="223">
        <f t="shared" si="94"/>
        <v>0</v>
      </c>
      <c r="R39" s="223">
        <f t="shared" si="94"/>
        <v>0</v>
      </c>
      <c r="S39" s="223">
        <f t="shared" si="94"/>
        <v>0</v>
      </c>
      <c r="T39" s="223">
        <f t="shared" si="94"/>
        <v>0</v>
      </c>
      <c r="U39" s="223">
        <f t="shared" si="94"/>
        <v>0</v>
      </c>
      <c r="V39" s="223">
        <f t="shared" si="94"/>
        <v>0</v>
      </c>
      <c r="W39" s="223">
        <f t="shared" si="94"/>
        <v>0</v>
      </c>
      <c r="X39" s="223">
        <f t="shared" si="94"/>
        <v>0</v>
      </c>
      <c r="Y39" s="223">
        <f t="shared" si="94"/>
        <v>0</v>
      </c>
      <c r="Z39" s="223">
        <f t="shared" si="94"/>
        <v>0</v>
      </c>
      <c r="AA39" s="223">
        <f t="shared" si="94"/>
        <v>0</v>
      </c>
      <c r="AB39" s="223">
        <f t="shared" si="94"/>
        <v>0</v>
      </c>
      <c r="AC39" s="223">
        <f t="shared" si="94"/>
        <v>0</v>
      </c>
      <c r="AD39" s="223">
        <f t="shared" si="94"/>
        <v>0</v>
      </c>
      <c r="AE39" s="223">
        <f t="shared" si="94"/>
        <v>0</v>
      </c>
      <c r="AF39" s="223">
        <f t="shared" si="94"/>
        <v>0</v>
      </c>
      <c r="AG39" s="223">
        <f t="shared" si="94"/>
        <v>0</v>
      </c>
      <c r="AH39" s="223">
        <f t="shared" si="94"/>
        <v>0</v>
      </c>
      <c r="AI39" s="223">
        <f t="shared" si="94"/>
        <v>0</v>
      </c>
      <c r="AJ39" s="223">
        <f t="shared" si="94"/>
        <v>0</v>
      </c>
      <c r="AK39" s="223">
        <f t="shared" si="94"/>
        <v>0</v>
      </c>
      <c r="AL39" s="223">
        <f t="shared" si="94"/>
        <v>0</v>
      </c>
      <c r="AM39" s="223">
        <f t="shared" si="94"/>
        <v>0</v>
      </c>
      <c r="AN39" s="223">
        <f t="shared" si="94"/>
        <v>0</v>
      </c>
      <c r="AO39" s="223">
        <f t="shared" si="94"/>
        <v>0</v>
      </c>
      <c r="AP39" s="60"/>
      <c r="AQ39" s="60"/>
      <c r="AR39" s="60"/>
      <c r="AS39" s="60"/>
      <c r="AT39" s="60"/>
    </row>
    <row r="40" spans="2:46" ht="14.25" customHeight="1" outlineLevel="1">
      <c r="B40" s="1">
        <f>IF(C40=справочник!$A$16,D40*2.2%/4,0)</f>
        <v>0</v>
      </c>
      <c r="C40" s="1" t="str">
        <f>Предпосылки!J26</f>
        <v>нет</v>
      </c>
      <c r="D40" s="1">
        <f>Предпосылки!L59/(1+Предпосылки!F26)</f>
        <v>1475.4098360655737</v>
      </c>
      <c r="E40" s="206">
        <f>Предпосылки!H59-Предпосылки!M59</f>
        <v>324.58999999999992</v>
      </c>
      <c r="F40" s="36" t="str">
        <f>Предпосылки!H26</f>
        <v>2 кв 2026</v>
      </c>
      <c r="G40" s="140">
        <f t="shared" si="95"/>
        <v>2</v>
      </c>
      <c r="H40" s="207" t="str">
        <f>Предпосылки!B26</f>
        <v>Оборудование 4</v>
      </c>
      <c r="I40" s="204"/>
      <c r="J40" s="222"/>
      <c r="K40" s="222"/>
      <c r="L40" s="223">
        <f t="shared" si="96"/>
        <v>0</v>
      </c>
      <c r="M40" s="223">
        <f t="shared" si="94"/>
        <v>0</v>
      </c>
      <c r="N40" s="223">
        <f t="shared" si="94"/>
        <v>0</v>
      </c>
      <c r="O40" s="223">
        <f t="shared" si="94"/>
        <v>324.58999999999992</v>
      </c>
      <c r="P40" s="223">
        <f t="shared" si="94"/>
        <v>0</v>
      </c>
      <c r="Q40" s="223">
        <f t="shared" si="94"/>
        <v>0</v>
      </c>
      <c r="R40" s="223">
        <f t="shared" si="94"/>
        <v>0</v>
      </c>
      <c r="S40" s="223">
        <f t="shared" si="94"/>
        <v>0</v>
      </c>
      <c r="T40" s="223">
        <f t="shared" si="94"/>
        <v>0</v>
      </c>
      <c r="U40" s="223">
        <f t="shared" si="94"/>
        <v>0</v>
      </c>
      <c r="V40" s="223">
        <f t="shared" si="94"/>
        <v>0</v>
      </c>
      <c r="W40" s="223">
        <f t="shared" si="94"/>
        <v>0</v>
      </c>
      <c r="X40" s="223">
        <f t="shared" si="94"/>
        <v>0</v>
      </c>
      <c r="Y40" s="223">
        <f t="shared" si="94"/>
        <v>0</v>
      </c>
      <c r="Z40" s="223">
        <f t="shared" si="94"/>
        <v>0</v>
      </c>
      <c r="AA40" s="223">
        <f t="shared" si="94"/>
        <v>0</v>
      </c>
      <c r="AB40" s="223">
        <f t="shared" si="94"/>
        <v>0</v>
      </c>
      <c r="AC40" s="223">
        <f t="shared" si="94"/>
        <v>0</v>
      </c>
      <c r="AD40" s="223">
        <f t="shared" si="94"/>
        <v>0</v>
      </c>
      <c r="AE40" s="223">
        <f t="shared" si="94"/>
        <v>0</v>
      </c>
      <c r="AF40" s="223">
        <f t="shared" si="94"/>
        <v>0</v>
      </c>
      <c r="AG40" s="223">
        <f t="shared" si="94"/>
        <v>0</v>
      </c>
      <c r="AH40" s="223">
        <f t="shared" si="94"/>
        <v>0</v>
      </c>
      <c r="AI40" s="223">
        <f t="shared" si="94"/>
        <v>0</v>
      </c>
      <c r="AJ40" s="223">
        <f t="shared" si="94"/>
        <v>0</v>
      </c>
      <c r="AK40" s="223">
        <f t="shared" si="94"/>
        <v>0</v>
      </c>
      <c r="AL40" s="223">
        <f t="shared" si="94"/>
        <v>0</v>
      </c>
      <c r="AM40" s="223">
        <f t="shared" si="94"/>
        <v>0</v>
      </c>
      <c r="AN40" s="223">
        <f t="shared" si="94"/>
        <v>0</v>
      </c>
      <c r="AO40" s="223">
        <f t="shared" si="94"/>
        <v>0</v>
      </c>
      <c r="AP40" s="60"/>
      <c r="AQ40" s="60"/>
      <c r="AR40" s="60"/>
      <c r="AS40" s="60"/>
      <c r="AT40" s="60"/>
    </row>
    <row r="41" spans="2:46" ht="14.25" customHeight="1" outlineLevel="1">
      <c r="B41" s="1">
        <f>IF(C41=справочник!$A$16,D41*2.2%/4,0)</f>
        <v>0</v>
      </c>
      <c r="C41" s="1" t="str">
        <f>Предпосылки!J27</f>
        <v>нет</v>
      </c>
      <c r="D41" s="1">
        <f>Предпосылки!L60/(1+Предпосылки!F27)</f>
        <v>14671.475409836066</v>
      </c>
      <c r="E41" s="206">
        <f>Предпосылки!H60-Предпосылки!M60</f>
        <v>3227.7200000000012</v>
      </c>
      <c r="F41" s="36" t="str">
        <f>Предпосылки!H27</f>
        <v>2 кв 2026</v>
      </c>
      <c r="G41" s="140">
        <f t="shared" si="95"/>
        <v>2</v>
      </c>
      <c r="H41" s="207" t="str">
        <f>Предпосылки!B27</f>
        <v>Оборудование 5</v>
      </c>
      <c r="I41" s="204"/>
      <c r="J41" s="222"/>
      <c r="K41" s="222"/>
      <c r="L41" s="223">
        <f t="shared" si="96"/>
        <v>0</v>
      </c>
      <c r="M41" s="223">
        <f t="shared" si="94"/>
        <v>0</v>
      </c>
      <c r="N41" s="223">
        <f t="shared" si="94"/>
        <v>0</v>
      </c>
      <c r="O41" s="223">
        <f t="shared" si="94"/>
        <v>3227.7200000000012</v>
      </c>
      <c r="P41" s="223">
        <f t="shared" si="94"/>
        <v>0</v>
      </c>
      <c r="Q41" s="223">
        <f t="shared" si="94"/>
        <v>0</v>
      </c>
      <c r="R41" s="223">
        <f t="shared" si="94"/>
        <v>0</v>
      </c>
      <c r="S41" s="223">
        <f t="shared" si="94"/>
        <v>0</v>
      </c>
      <c r="T41" s="223">
        <f t="shared" si="94"/>
        <v>0</v>
      </c>
      <c r="U41" s="223">
        <f t="shared" si="94"/>
        <v>0</v>
      </c>
      <c r="V41" s="223">
        <f t="shared" si="94"/>
        <v>0</v>
      </c>
      <c r="W41" s="223">
        <f t="shared" si="94"/>
        <v>0</v>
      </c>
      <c r="X41" s="223">
        <f t="shared" si="94"/>
        <v>0</v>
      </c>
      <c r="Y41" s="223">
        <f t="shared" si="94"/>
        <v>0</v>
      </c>
      <c r="Z41" s="223">
        <f t="shared" si="94"/>
        <v>0</v>
      </c>
      <c r="AA41" s="223">
        <f t="shared" si="94"/>
        <v>0</v>
      </c>
      <c r="AB41" s="223">
        <f t="shared" si="94"/>
        <v>0</v>
      </c>
      <c r="AC41" s="223">
        <f t="shared" si="94"/>
        <v>0</v>
      </c>
      <c r="AD41" s="223">
        <f t="shared" si="94"/>
        <v>0</v>
      </c>
      <c r="AE41" s="223">
        <f t="shared" si="94"/>
        <v>0</v>
      </c>
      <c r="AF41" s="223">
        <f t="shared" si="94"/>
        <v>0</v>
      </c>
      <c r="AG41" s="223">
        <f t="shared" si="94"/>
        <v>0</v>
      </c>
      <c r="AH41" s="223">
        <f t="shared" si="94"/>
        <v>0</v>
      </c>
      <c r="AI41" s="223">
        <f t="shared" si="94"/>
        <v>0</v>
      </c>
      <c r="AJ41" s="223">
        <f t="shared" si="94"/>
        <v>0</v>
      </c>
      <c r="AK41" s="223">
        <f t="shared" si="94"/>
        <v>0</v>
      </c>
      <c r="AL41" s="223">
        <f t="shared" si="94"/>
        <v>0</v>
      </c>
      <c r="AM41" s="223">
        <f t="shared" si="94"/>
        <v>0</v>
      </c>
      <c r="AN41" s="223">
        <f t="shared" si="94"/>
        <v>0</v>
      </c>
      <c r="AO41" s="223">
        <f t="shared" si="94"/>
        <v>0</v>
      </c>
      <c r="AP41" s="60"/>
      <c r="AQ41" s="60"/>
      <c r="AR41" s="60"/>
      <c r="AS41" s="60"/>
      <c r="AT41" s="60"/>
    </row>
    <row r="42" spans="2:46" ht="14.25" customHeight="1" outlineLevel="1">
      <c r="B42" s="1">
        <f>IF(C42=справочник!$A$16,D42*2.2%/4,0)</f>
        <v>0</v>
      </c>
      <c r="C42" s="1" t="str">
        <f>Предпосылки!J28</f>
        <v>нет</v>
      </c>
      <c r="D42" s="1">
        <f>Предпосылки!L61/(1+Предпосылки!F28)</f>
        <v>996.17049180327865</v>
      </c>
      <c r="E42" s="206">
        <f>Предпосылки!H61-Предпосылки!M61</f>
        <v>219.15800000000002</v>
      </c>
      <c r="F42" s="36" t="str">
        <f>Предпосылки!H28</f>
        <v>2 кв 2026</v>
      </c>
      <c r="G42" s="140">
        <f t="shared" si="95"/>
        <v>2</v>
      </c>
      <c r="H42" s="207" t="str">
        <f>Предпосылки!B28</f>
        <v>Оборудование 6</v>
      </c>
      <c r="I42" s="204"/>
      <c r="J42" s="222"/>
      <c r="K42" s="222"/>
      <c r="L42" s="223">
        <f t="shared" si="96"/>
        <v>0</v>
      </c>
      <c r="M42" s="223">
        <f t="shared" si="94"/>
        <v>0</v>
      </c>
      <c r="N42" s="223">
        <f t="shared" si="94"/>
        <v>0</v>
      </c>
      <c r="O42" s="223">
        <f t="shared" si="94"/>
        <v>219.15800000000002</v>
      </c>
      <c r="P42" s="223">
        <f t="shared" si="94"/>
        <v>0</v>
      </c>
      <c r="Q42" s="223">
        <f t="shared" si="94"/>
        <v>0</v>
      </c>
      <c r="R42" s="223">
        <f t="shared" si="94"/>
        <v>0</v>
      </c>
      <c r="S42" s="223">
        <f t="shared" si="94"/>
        <v>0</v>
      </c>
      <c r="T42" s="223">
        <f t="shared" si="94"/>
        <v>0</v>
      </c>
      <c r="U42" s="223">
        <f t="shared" si="94"/>
        <v>0</v>
      </c>
      <c r="V42" s="223">
        <f t="shared" si="94"/>
        <v>0</v>
      </c>
      <c r="W42" s="223">
        <f t="shared" si="94"/>
        <v>0</v>
      </c>
      <c r="X42" s="223">
        <f t="shared" si="94"/>
        <v>0</v>
      </c>
      <c r="Y42" s="223">
        <f t="shared" si="94"/>
        <v>0</v>
      </c>
      <c r="Z42" s="223">
        <f t="shared" si="94"/>
        <v>0</v>
      </c>
      <c r="AA42" s="223">
        <f t="shared" si="94"/>
        <v>0</v>
      </c>
      <c r="AB42" s="223">
        <f t="shared" si="94"/>
        <v>0</v>
      </c>
      <c r="AC42" s="223">
        <f t="shared" si="94"/>
        <v>0</v>
      </c>
      <c r="AD42" s="223">
        <f t="shared" si="94"/>
        <v>0</v>
      </c>
      <c r="AE42" s="223">
        <f t="shared" si="94"/>
        <v>0</v>
      </c>
      <c r="AF42" s="223">
        <f t="shared" si="94"/>
        <v>0</v>
      </c>
      <c r="AG42" s="223">
        <f t="shared" si="94"/>
        <v>0</v>
      </c>
      <c r="AH42" s="223">
        <f t="shared" si="94"/>
        <v>0</v>
      </c>
      <c r="AI42" s="223">
        <f t="shared" si="94"/>
        <v>0</v>
      </c>
      <c r="AJ42" s="223">
        <f t="shared" si="94"/>
        <v>0</v>
      </c>
      <c r="AK42" s="223">
        <f t="shared" si="94"/>
        <v>0</v>
      </c>
      <c r="AL42" s="223">
        <f t="shared" si="94"/>
        <v>0</v>
      </c>
      <c r="AM42" s="223">
        <f t="shared" si="94"/>
        <v>0</v>
      </c>
      <c r="AN42" s="223">
        <f t="shared" si="94"/>
        <v>0</v>
      </c>
      <c r="AO42" s="223">
        <f t="shared" si="94"/>
        <v>0</v>
      </c>
      <c r="AP42" s="60"/>
      <c r="AQ42" s="60"/>
      <c r="AR42" s="60"/>
      <c r="AS42" s="60"/>
      <c r="AT42" s="60"/>
    </row>
    <row r="43" spans="2:46" ht="14.25" customHeight="1" outlineLevel="1">
      <c r="B43" s="1">
        <f>IF(C43=справочник!$A$16,D43*2.2%/4,0)</f>
        <v>0</v>
      </c>
      <c r="C43" s="1" t="str">
        <f>Предпосылки!J29</f>
        <v>нет</v>
      </c>
      <c r="D43" s="1">
        <f>Предпосылки!L62/(1+Предпосылки!F29)</f>
        <v>105.36065573770492</v>
      </c>
      <c r="E43" s="206">
        <f>Предпосылки!H62-Предпосылки!M62</f>
        <v>23.179999999999993</v>
      </c>
      <c r="F43" s="36" t="str">
        <f>Предпосылки!H29</f>
        <v>2 кв 2026</v>
      </c>
      <c r="G43" s="140">
        <f t="shared" si="95"/>
        <v>2</v>
      </c>
      <c r="H43" s="207" t="str">
        <f>Предпосылки!B29</f>
        <v>Оборудование 7</v>
      </c>
      <c r="I43" s="204"/>
      <c r="J43" s="222"/>
      <c r="K43" s="222"/>
      <c r="L43" s="223">
        <f t="shared" si="96"/>
        <v>0</v>
      </c>
      <c r="M43" s="223">
        <f t="shared" si="94"/>
        <v>0</v>
      </c>
      <c r="N43" s="223">
        <f t="shared" si="94"/>
        <v>0</v>
      </c>
      <c r="O43" s="223">
        <f t="shared" si="94"/>
        <v>23.179999999999993</v>
      </c>
      <c r="P43" s="223">
        <f t="shared" si="94"/>
        <v>0</v>
      </c>
      <c r="Q43" s="223">
        <f t="shared" si="94"/>
        <v>0</v>
      </c>
      <c r="R43" s="223">
        <f t="shared" si="94"/>
        <v>0</v>
      </c>
      <c r="S43" s="223">
        <f t="shared" si="94"/>
        <v>0</v>
      </c>
      <c r="T43" s="223">
        <f t="shared" si="94"/>
        <v>0</v>
      </c>
      <c r="U43" s="223">
        <f t="shared" si="94"/>
        <v>0</v>
      </c>
      <c r="V43" s="223">
        <f t="shared" si="94"/>
        <v>0</v>
      </c>
      <c r="W43" s="223">
        <f t="shared" si="94"/>
        <v>0</v>
      </c>
      <c r="X43" s="223">
        <f t="shared" si="94"/>
        <v>0</v>
      </c>
      <c r="Y43" s="223">
        <f t="shared" si="94"/>
        <v>0</v>
      </c>
      <c r="Z43" s="223">
        <f t="shared" si="94"/>
        <v>0</v>
      </c>
      <c r="AA43" s="223">
        <f t="shared" si="94"/>
        <v>0</v>
      </c>
      <c r="AB43" s="223">
        <f t="shared" si="94"/>
        <v>0</v>
      </c>
      <c r="AC43" s="223">
        <f t="shared" si="94"/>
        <v>0</v>
      </c>
      <c r="AD43" s="223">
        <f t="shared" si="94"/>
        <v>0</v>
      </c>
      <c r="AE43" s="223">
        <f t="shared" si="94"/>
        <v>0</v>
      </c>
      <c r="AF43" s="223">
        <f t="shared" si="94"/>
        <v>0</v>
      </c>
      <c r="AG43" s="223">
        <f t="shared" si="94"/>
        <v>0</v>
      </c>
      <c r="AH43" s="223">
        <f t="shared" si="94"/>
        <v>0</v>
      </c>
      <c r="AI43" s="223">
        <f t="shared" si="94"/>
        <v>0</v>
      </c>
      <c r="AJ43" s="223">
        <f t="shared" si="94"/>
        <v>0</v>
      </c>
      <c r="AK43" s="223">
        <f t="shared" si="94"/>
        <v>0</v>
      </c>
      <c r="AL43" s="223">
        <f t="shared" si="94"/>
        <v>0</v>
      </c>
      <c r="AM43" s="223">
        <f t="shared" si="94"/>
        <v>0</v>
      </c>
      <c r="AN43" s="223">
        <f t="shared" si="94"/>
        <v>0</v>
      </c>
      <c r="AO43" s="223">
        <f t="shared" si="94"/>
        <v>0</v>
      </c>
      <c r="AP43" s="60"/>
      <c r="AQ43" s="60"/>
      <c r="AR43" s="60"/>
      <c r="AS43" s="60"/>
      <c r="AT43" s="60"/>
    </row>
    <row r="44" spans="2:46" ht="14.25" customHeight="1" outlineLevel="1">
      <c r="B44" s="1">
        <f>IF(C44=справочник!$A$16,D44*2.2%/4,0)</f>
        <v>0</v>
      </c>
      <c r="C44" s="1" t="str">
        <f>Предпосылки!J30</f>
        <v>нет</v>
      </c>
      <c r="D44" s="1">
        <f>Предпосылки!L63/(1+Предпосылки!F30)</f>
        <v>510.73770491803282</v>
      </c>
      <c r="E44" s="206">
        <f>Предпосылки!H63-Предпосылки!M63</f>
        <v>112.36000000000001</v>
      </c>
      <c r="F44" s="36" t="str">
        <f>Предпосылки!H30</f>
        <v>2 кв 2026</v>
      </c>
      <c r="G44" s="140">
        <f t="shared" si="95"/>
        <v>2</v>
      </c>
      <c r="H44" s="207" t="str">
        <f>Предпосылки!B30</f>
        <v>Оборудование 8</v>
      </c>
      <c r="I44" s="204"/>
      <c r="J44" s="222"/>
      <c r="K44" s="222"/>
      <c r="L44" s="223">
        <f t="shared" si="96"/>
        <v>0</v>
      </c>
      <c r="M44" s="223">
        <f t="shared" si="94"/>
        <v>0</v>
      </c>
      <c r="N44" s="223">
        <f t="shared" si="94"/>
        <v>0</v>
      </c>
      <c r="O44" s="223">
        <f t="shared" si="94"/>
        <v>112.36000000000001</v>
      </c>
      <c r="P44" s="223">
        <f t="shared" si="94"/>
        <v>0</v>
      </c>
      <c r="Q44" s="223">
        <f t="shared" si="94"/>
        <v>0</v>
      </c>
      <c r="R44" s="223">
        <f t="shared" si="94"/>
        <v>0</v>
      </c>
      <c r="S44" s="223">
        <f t="shared" si="94"/>
        <v>0</v>
      </c>
      <c r="T44" s="223">
        <f t="shared" si="94"/>
        <v>0</v>
      </c>
      <c r="U44" s="223">
        <f t="shared" si="94"/>
        <v>0</v>
      </c>
      <c r="V44" s="223">
        <f t="shared" si="94"/>
        <v>0</v>
      </c>
      <c r="W44" s="223">
        <f t="shared" si="94"/>
        <v>0</v>
      </c>
      <c r="X44" s="223">
        <f t="shared" si="94"/>
        <v>0</v>
      </c>
      <c r="Y44" s="223">
        <f t="shared" si="94"/>
        <v>0</v>
      </c>
      <c r="Z44" s="223">
        <f t="shared" si="94"/>
        <v>0</v>
      </c>
      <c r="AA44" s="223">
        <f t="shared" si="94"/>
        <v>0</v>
      </c>
      <c r="AB44" s="223">
        <f t="shared" si="94"/>
        <v>0</v>
      </c>
      <c r="AC44" s="223">
        <f t="shared" si="94"/>
        <v>0</v>
      </c>
      <c r="AD44" s="223">
        <f t="shared" si="94"/>
        <v>0</v>
      </c>
      <c r="AE44" s="223">
        <f t="shared" si="94"/>
        <v>0</v>
      </c>
      <c r="AF44" s="223">
        <f t="shared" si="94"/>
        <v>0</v>
      </c>
      <c r="AG44" s="223">
        <f t="shared" si="94"/>
        <v>0</v>
      </c>
      <c r="AH44" s="223">
        <f t="shared" si="94"/>
        <v>0</v>
      </c>
      <c r="AI44" s="223">
        <f t="shared" si="94"/>
        <v>0</v>
      </c>
      <c r="AJ44" s="223">
        <f t="shared" si="94"/>
        <v>0</v>
      </c>
      <c r="AK44" s="223">
        <f t="shared" si="94"/>
        <v>0</v>
      </c>
      <c r="AL44" s="223">
        <f t="shared" si="94"/>
        <v>0</v>
      </c>
      <c r="AM44" s="223">
        <f t="shared" si="94"/>
        <v>0</v>
      </c>
      <c r="AN44" s="223">
        <f t="shared" si="94"/>
        <v>0</v>
      </c>
      <c r="AO44" s="223">
        <f t="shared" si="94"/>
        <v>0</v>
      </c>
      <c r="AP44" s="60"/>
      <c r="AQ44" s="60"/>
      <c r="AR44" s="60"/>
      <c r="AS44" s="60"/>
      <c r="AT44" s="60"/>
    </row>
    <row r="45" spans="2:46" ht="14.25" customHeight="1" outlineLevel="1">
      <c r="B45" s="1">
        <f>IF(C45=справочник!$A$16,D45*2.2%/4,0)</f>
        <v>0</v>
      </c>
      <c r="C45" s="1">
        <f>Предпосылки!J31</f>
        <v>0</v>
      </c>
      <c r="D45" s="1">
        <f>Предпосылки!L64/(1+Предпосылки!F31)</f>
        <v>0</v>
      </c>
      <c r="E45" s="206">
        <f>Предпосылки!H64-Предпосылки!M64</f>
        <v>0</v>
      </c>
      <c r="F45" s="36">
        <f>Предпосылки!H31</f>
        <v>0</v>
      </c>
      <c r="G45" s="140">
        <f t="shared" si="95"/>
        <v>0</v>
      </c>
      <c r="H45" s="207" t="str">
        <f>Предпосылки!B31</f>
        <v>Оборудование 9</v>
      </c>
      <c r="I45" s="204"/>
      <c r="J45" s="222"/>
      <c r="K45" s="222"/>
      <c r="L45" s="223">
        <f t="shared" si="96"/>
        <v>0</v>
      </c>
      <c r="M45" s="223">
        <f t="shared" si="94"/>
        <v>0</v>
      </c>
      <c r="N45" s="223">
        <f t="shared" si="94"/>
        <v>0</v>
      </c>
      <c r="O45" s="223">
        <f t="shared" si="94"/>
        <v>0</v>
      </c>
      <c r="P45" s="223">
        <f t="shared" si="94"/>
        <v>0</v>
      </c>
      <c r="Q45" s="223">
        <f t="shared" si="94"/>
        <v>0</v>
      </c>
      <c r="R45" s="223">
        <f t="shared" si="94"/>
        <v>0</v>
      </c>
      <c r="S45" s="223">
        <f t="shared" si="94"/>
        <v>0</v>
      </c>
      <c r="T45" s="223">
        <f t="shared" si="94"/>
        <v>0</v>
      </c>
      <c r="U45" s="223">
        <f t="shared" si="94"/>
        <v>0</v>
      </c>
      <c r="V45" s="223">
        <f t="shared" si="94"/>
        <v>0</v>
      </c>
      <c r="W45" s="223">
        <f t="shared" si="94"/>
        <v>0</v>
      </c>
      <c r="X45" s="223">
        <f t="shared" si="94"/>
        <v>0</v>
      </c>
      <c r="Y45" s="223">
        <f t="shared" si="94"/>
        <v>0</v>
      </c>
      <c r="Z45" s="223">
        <f t="shared" si="94"/>
        <v>0</v>
      </c>
      <c r="AA45" s="223">
        <f t="shared" si="94"/>
        <v>0</v>
      </c>
      <c r="AB45" s="223">
        <f t="shared" si="94"/>
        <v>0</v>
      </c>
      <c r="AC45" s="223">
        <f t="shared" si="94"/>
        <v>0</v>
      </c>
      <c r="AD45" s="223">
        <f t="shared" si="94"/>
        <v>0</v>
      </c>
      <c r="AE45" s="223">
        <f t="shared" si="94"/>
        <v>0</v>
      </c>
      <c r="AF45" s="223">
        <f t="shared" si="94"/>
        <v>0</v>
      </c>
      <c r="AG45" s="223">
        <f t="shared" si="94"/>
        <v>0</v>
      </c>
      <c r="AH45" s="223">
        <f t="shared" si="94"/>
        <v>0</v>
      </c>
      <c r="AI45" s="223">
        <f t="shared" si="94"/>
        <v>0</v>
      </c>
      <c r="AJ45" s="223">
        <f t="shared" ref="AJ45:AO45" si="97">IF($F45=AJ$15,$E45,0)</f>
        <v>0</v>
      </c>
      <c r="AK45" s="223">
        <f t="shared" si="97"/>
        <v>0</v>
      </c>
      <c r="AL45" s="223">
        <f t="shared" si="97"/>
        <v>0</v>
      </c>
      <c r="AM45" s="223">
        <f t="shared" si="97"/>
        <v>0</v>
      </c>
      <c r="AN45" s="223">
        <f t="shared" si="97"/>
        <v>0</v>
      </c>
      <c r="AO45" s="223">
        <f t="shared" si="97"/>
        <v>0</v>
      </c>
      <c r="AP45" s="60"/>
      <c r="AQ45" s="60"/>
      <c r="AR45" s="60"/>
      <c r="AS45" s="60"/>
      <c r="AT45" s="60"/>
    </row>
    <row r="46" spans="2:46" ht="14.25" customHeight="1" outlineLevel="1">
      <c r="B46" s="1">
        <f>IF(C46=справочник!$A$16,D46*2.2%/4,0)</f>
        <v>0</v>
      </c>
      <c r="C46" s="1">
        <f>Предпосылки!J32</f>
        <v>0</v>
      </c>
      <c r="D46" s="1">
        <f>Предпосылки!L65/(1+Предпосылки!F32)</f>
        <v>0</v>
      </c>
      <c r="E46" s="206">
        <f>Предпосылки!H65-Предпосылки!M65</f>
        <v>0</v>
      </c>
      <c r="F46" s="36">
        <f>Предпосылки!H32</f>
        <v>0</v>
      </c>
      <c r="G46" s="140">
        <f t="shared" si="95"/>
        <v>0</v>
      </c>
      <c r="H46" s="207" t="str">
        <f>Предпосылки!B32</f>
        <v>Оборудование 10</v>
      </c>
      <c r="I46" s="204"/>
      <c r="J46" s="222"/>
      <c r="K46" s="222"/>
      <c r="L46" s="223">
        <f t="shared" si="96"/>
        <v>0</v>
      </c>
      <c r="M46" s="223">
        <f t="shared" si="96"/>
        <v>0</v>
      </c>
      <c r="N46" s="223">
        <f t="shared" si="96"/>
        <v>0</v>
      </c>
      <c r="O46" s="223">
        <f t="shared" si="96"/>
        <v>0</v>
      </c>
      <c r="P46" s="223">
        <f t="shared" si="96"/>
        <v>0</v>
      </c>
      <c r="Q46" s="223">
        <f t="shared" si="96"/>
        <v>0</v>
      </c>
      <c r="R46" s="223">
        <f t="shared" si="96"/>
        <v>0</v>
      </c>
      <c r="S46" s="223">
        <f t="shared" si="96"/>
        <v>0</v>
      </c>
      <c r="T46" s="223">
        <f t="shared" si="96"/>
        <v>0</v>
      </c>
      <c r="U46" s="223">
        <f t="shared" si="96"/>
        <v>0</v>
      </c>
      <c r="V46" s="223">
        <f t="shared" si="96"/>
        <v>0</v>
      </c>
      <c r="W46" s="223">
        <f t="shared" si="96"/>
        <v>0</v>
      </c>
      <c r="X46" s="223">
        <f t="shared" si="96"/>
        <v>0</v>
      </c>
      <c r="Y46" s="223">
        <f t="shared" si="96"/>
        <v>0</v>
      </c>
      <c r="Z46" s="223">
        <f t="shared" si="96"/>
        <v>0</v>
      </c>
      <c r="AA46" s="223">
        <f t="shared" si="96"/>
        <v>0</v>
      </c>
      <c r="AB46" s="223">
        <f t="shared" ref="AB46:AO56" si="98">IF($F46=AB$15,$E46,0)</f>
        <v>0</v>
      </c>
      <c r="AC46" s="223">
        <f t="shared" si="98"/>
        <v>0</v>
      </c>
      <c r="AD46" s="223">
        <f t="shared" si="98"/>
        <v>0</v>
      </c>
      <c r="AE46" s="223">
        <f t="shared" si="98"/>
        <v>0</v>
      </c>
      <c r="AF46" s="223">
        <f t="shared" si="98"/>
        <v>0</v>
      </c>
      <c r="AG46" s="223">
        <f t="shared" si="98"/>
        <v>0</v>
      </c>
      <c r="AH46" s="223">
        <f t="shared" si="98"/>
        <v>0</v>
      </c>
      <c r="AI46" s="223">
        <f t="shared" si="98"/>
        <v>0</v>
      </c>
      <c r="AJ46" s="223">
        <f t="shared" si="98"/>
        <v>0</v>
      </c>
      <c r="AK46" s="223">
        <f t="shared" si="98"/>
        <v>0</v>
      </c>
      <c r="AL46" s="223">
        <f t="shared" si="98"/>
        <v>0</v>
      </c>
      <c r="AM46" s="223">
        <f t="shared" si="98"/>
        <v>0</v>
      </c>
      <c r="AN46" s="223">
        <f t="shared" si="98"/>
        <v>0</v>
      </c>
      <c r="AO46" s="223">
        <f t="shared" si="98"/>
        <v>0</v>
      </c>
      <c r="AP46" s="60"/>
      <c r="AQ46" s="60"/>
      <c r="AR46" s="60"/>
      <c r="AS46" s="60"/>
      <c r="AT46" s="60"/>
    </row>
    <row r="47" spans="2:46" ht="14.25" customHeight="1" outlineLevel="1">
      <c r="B47" s="1">
        <f>IF(C47=справочник!$A$16,D47*2.2%/4,0)</f>
        <v>0</v>
      </c>
      <c r="C47" s="1">
        <f>Предпосылки!J33</f>
        <v>0</v>
      </c>
      <c r="D47" s="1">
        <f>Предпосылки!L66/(1+Предпосылки!F33)</f>
        <v>0</v>
      </c>
      <c r="E47" s="206">
        <f>Предпосылки!H66-Предпосылки!M66</f>
        <v>0</v>
      </c>
      <c r="F47" s="36">
        <f>Предпосылки!H33</f>
        <v>0</v>
      </c>
      <c r="G47" s="140">
        <f t="shared" si="95"/>
        <v>0</v>
      </c>
      <c r="H47" s="207" t="str">
        <f>Предпосылки!B33</f>
        <v>Оборудование 11</v>
      </c>
      <c r="I47" s="204"/>
      <c r="J47" s="222"/>
      <c r="K47" s="222"/>
      <c r="L47" s="223">
        <f t="shared" si="96"/>
        <v>0</v>
      </c>
      <c r="M47" s="223">
        <f t="shared" si="96"/>
        <v>0</v>
      </c>
      <c r="N47" s="223">
        <f t="shared" si="96"/>
        <v>0</v>
      </c>
      <c r="O47" s="223">
        <f t="shared" si="96"/>
        <v>0</v>
      </c>
      <c r="P47" s="223">
        <f t="shared" si="96"/>
        <v>0</v>
      </c>
      <c r="Q47" s="223">
        <f t="shared" si="96"/>
        <v>0</v>
      </c>
      <c r="R47" s="223">
        <f t="shared" si="96"/>
        <v>0</v>
      </c>
      <c r="S47" s="223">
        <f t="shared" si="96"/>
        <v>0</v>
      </c>
      <c r="T47" s="223">
        <f t="shared" si="96"/>
        <v>0</v>
      </c>
      <c r="U47" s="223">
        <f t="shared" si="96"/>
        <v>0</v>
      </c>
      <c r="V47" s="223">
        <f t="shared" si="96"/>
        <v>0</v>
      </c>
      <c r="W47" s="223">
        <f t="shared" si="96"/>
        <v>0</v>
      </c>
      <c r="X47" s="223">
        <f t="shared" si="96"/>
        <v>0</v>
      </c>
      <c r="Y47" s="223">
        <f t="shared" si="96"/>
        <v>0</v>
      </c>
      <c r="Z47" s="223">
        <f t="shared" si="96"/>
        <v>0</v>
      </c>
      <c r="AA47" s="223">
        <f t="shared" si="96"/>
        <v>0</v>
      </c>
      <c r="AB47" s="223">
        <f t="shared" si="98"/>
        <v>0</v>
      </c>
      <c r="AC47" s="223">
        <f t="shared" si="98"/>
        <v>0</v>
      </c>
      <c r="AD47" s="223">
        <f t="shared" si="98"/>
        <v>0</v>
      </c>
      <c r="AE47" s="223">
        <f t="shared" si="98"/>
        <v>0</v>
      </c>
      <c r="AF47" s="223">
        <f t="shared" si="98"/>
        <v>0</v>
      </c>
      <c r="AG47" s="223">
        <f t="shared" si="98"/>
        <v>0</v>
      </c>
      <c r="AH47" s="223">
        <f t="shared" si="98"/>
        <v>0</v>
      </c>
      <c r="AI47" s="223">
        <f t="shared" si="98"/>
        <v>0</v>
      </c>
      <c r="AJ47" s="223">
        <f t="shared" si="98"/>
        <v>0</v>
      </c>
      <c r="AK47" s="223">
        <f t="shared" si="98"/>
        <v>0</v>
      </c>
      <c r="AL47" s="223">
        <f t="shared" si="98"/>
        <v>0</v>
      </c>
      <c r="AM47" s="223">
        <f t="shared" si="98"/>
        <v>0</v>
      </c>
      <c r="AN47" s="223">
        <f t="shared" si="98"/>
        <v>0</v>
      </c>
      <c r="AO47" s="223">
        <f t="shared" si="98"/>
        <v>0</v>
      </c>
      <c r="AP47" s="60"/>
      <c r="AQ47" s="60"/>
      <c r="AR47" s="60"/>
      <c r="AS47" s="60"/>
      <c r="AT47" s="60"/>
    </row>
    <row r="48" spans="2:46" ht="14.25" customHeight="1" outlineLevel="1">
      <c r="B48" s="1">
        <f>IF(C48=справочник!$A$16,D48*2.2%/4,0)</f>
        <v>0</v>
      </c>
      <c r="C48" s="1">
        <f>Предпосылки!J34</f>
        <v>0</v>
      </c>
      <c r="D48" s="1">
        <f>Предпосылки!L67/(1+Предпосылки!F34)</f>
        <v>0</v>
      </c>
      <c r="E48" s="206">
        <f>Предпосылки!H67-Предпосылки!M67</f>
        <v>0</v>
      </c>
      <c r="F48" s="36">
        <f>Предпосылки!H34</f>
        <v>0</v>
      </c>
      <c r="G48" s="140">
        <f t="shared" si="95"/>
        <v>0</v>
      </c>
      <c r="H48" s="207" t="str">
        <f>Предпосылки!B34</f>
        <v>Оборудование 12</v>
      </c>
      <c r="I48" s="204"/>
      <c r="J48" s="222"/>
      <c r="K48" s="222"/>
      <c r="L48" s="223">
        <f t="shared" si="96"/>
        <v>0</v>
      </c>
      <c r="M48" s="223">
        <f t="shared" si="96"/>
        <v>0</v>
      </c>
      <c r="N48" s="223">
        <f t="shared" si="96"/>
        <v>0</v>
      </c>
      <c r="O48" s="223">
        <f t="shared" si="96"/>
        <v>0</v>
      </c>
      <c r="P48" s="223">
        <f t="shared" si="96"/>
        <v>0</v>
      </c>
      <c r="Q48" s="223">
        <f t="shared" si="96"/>
        <v>0</v>
      </c>
      <c r="R48" s="223">
        <f t="shared" si="96"/>
        <v>0</v>
      </c>
      <c r="S48" s="223">
        <f t="shared" si="96"/>
        <v>0</v>
      </c>
      <c r="T48" s="223">
        <f t="shared" si="96"/>
        <v>0</v>
      </c>
      <c r="U48" s="223">
        <f t="shared" si="96"/>
        <v>0</v>
      </c>
      <c r="V48" s="223">
        <f t="shared" si="96"/>
        <v>0</v>
      </c>
      <c r="W48" s="223">
        <f t="shared" si="96"/>
        <v>0</v>
      </c>
      <c r="X48" s="223">
        <f t="shared" si="96"/>
        <v>0</v>
      </c>
      <c r="Y48" s="223">
        <f t="shared" si="96"/>
        <v>0</v>
      </c>
      <c r="Z48" s="223">
        <f t="shared" si="96"/>
        <v>0</v>
      </c>
      <c r="AA48" s="223">
        <f t="shared" si="96"/>
        <v>0</v>
      </c>
      <c r="AB48" s="223">
        <f t="shared" si="98"/>
        <v>0</v>
      </c>
      <c r="AC48" s="223">
        <f t="shared" si="98"/>
        <v>0</v>
      </c>
      <c r="AD48" s="223">
        <f t="shared" si="98"/>
        <v>0</v>
      </c>
      <c r="AE48" s="223">
        <f t="shared" si="98"/>
        <v>0</v>
      </c>
      <c r="AF48" s="223">
        <f t="shared" si="98"/>
        <v>0</v>
      </c>
      <c r="AG48" s="223">
        <f t="shared" si="98"/>
        <v>0</v>
      </c>
      <c r="AH48" s="223">
        <f t="shared" si="98"/>
        <v>0</v>
      </c>
      <c r="AI48" s="223">
        <f t="shared" si="98"/>
        <v>0</v>
      </c>
      <c r="AJ48" s="223">
        <f t="shared" si="98"/>
        <v>0</v>
      </c>
      <c r="AK48" s="223">
        <f t="shared" si="98"/>
        <v>0</v>
      </c>
      <c r="AL48" s="223">
        <f t="shared" si="98"/>
        <v>0</v>
      </c>
      <c r="AM48" s="223">
        <f t="shared" si="98"/>
        <v>0</v>
      </c>
      <c r="AN48" s="223">
        <f t="shared" si="98"/>
        <v>0</v>
      </c>
      <c r="AO48" s="223">
        <f t="shared" si="98"/>
        <v>0</v>
      </c>
      <c r="AP48" s="60"/>
      <c r="AQ48" s="60"/>
      <c r="AR48" s="60"/>
      <c r="AS48" s="60"/>
      <c r="AT48" s="60"/>
    </row>
    <row r="49" spans="2:46" ht="14.25" customHeight="1" outlineLevel="1">
      <c r="B49" s="1">
        <f>IF(C49=справочник!$A$16,D49*2.2%/4,0)</f>
        <v>0</v>
      </c>
      <c r="C49" s="1">
        <f>Предпосылки!J35</f>
        <v>0</v>
      </c>
      <c r="D49" s="1">
        <f>Предпосылки!L68/(1+Предпосылки!F35)</f>
        <v>0</v>
      </c>
      <c r="E49" s="206">
        <f>Предпосылки!H68-Предпосылки!M68</f>
        <v>0</v>
      </c>
      <c r="F49" s="36">
        <f>Предпосылки!H35</f>
        <v>0</v>
      </c>
      <c r="G49" s="140">
        <f t="shared" si="95"/>
        <v>0</v>
      </c>
      <c r="H49" s="207" t="str">
        <f>Предпосылки!B35</f>
        <v>Оборудование 13</v>
      </c>
      <c r="I49" s="204"/>
      <c r="J49" s="222"/>
      <c r="K49" s="222"/>
      <c r="L49" s="223">
        <f t="shared" si="96"/>
        <v>0</v>
      </c>
      <c r="M49" s="223">
        <f t="shared" si="96"/>
        <v>0</v>
      </c>
      <c r="N49" s="223">
        <f t="shared" si="96"/>
        <v>0</v>
      </c>
      <c r="O49" s="223">
        <f t="shared" si="96"/>
        <v>0</v>
      </c>
      <c r="P49" s="223">
        <f t="shared" si="96"/>
        <v>0</v>
      </c>
      <c r="Q49" s="223">
        <f t="shared" si="96"/>
        <v>0</v>
      </c>
      <c r="R49" s="223">
        <f t="shared" si="96"/>
        <v>0</v>
      </c>
      <c r="S49" s="223">
        <f t="shared" si="96"/>
        <v>0</v>
      </c>
      <c r="T49" s="223">
        <f t="shared" si="96"/>
        <v>0</v>
      </c>
      <c r="U49" s="223">
        <f t="shared" si="96"/>
        <v>0</v>
      </c>
      <c r="V49" s="223">
        <f t="shared" si="96"/>
        <v>0</v>
      </c>
      <c r="W49" s="223">
        <f t="shared" si="96"/>
        <v>0</v>
      </c>
      <c r="X49" s="223">
        <f t="shared" si="96"/>
        <v>0</v>
      </c>
      <c r="Y49" s="223">
        <f t="shared" si="96"/>
        <v>0</v>
      </c>
      <c r="Z49" s="223">
        <f t="shared" si="96"/>
        <v>0</v>
      </c>
      <c r="AA49" s="223">
        <f t="shared" si="96"/>
        <v>0</v>
      </c>
      <c r="AB49" s="223">
        <f t="shared" si="98"/>
        <v>0</v>
      </c>
      <c r="AC49" s="223">
        <f t="shared" si="98"/>
        <v>0</v>
      </c>
      <c r="AD49" s="223">
        <f t="shared" si="98"/>
        <v>0</v>
      </c>
      <c r="AE49" s="223">
        <f t="shared" si="98"/>
        <v>0</v>
      </c>
      <c r="AF49" s="223">
        <f t="shared" si="98"/>
        <v>0</v>
      </c>
      <c r="AG49" s="223">
        <f t="shared" si="98"/>
        <v>0</v>
      </c>
      <c r="AH49" s="223">
        <f t="shared" si="98"/>
        <v>0</v>
      </c>
      <c r="AI49" s="223">
        <f t="shared" si="98"/>
        <v>0</v>
      </c>
      <c r="AJ49" s="223">
        <f t="shared" si="98"/>
        <v>0</v>
      </c>
      <c r="AK49" s="223">
        <f t="shared" si="98"/>
        <v>0</v>
      </c>
      <c r="AL49" s="223">
        <f t="shared" si="98"/>
        <v>0</v>
      </c>
      <c r="AM49" s="223">
        <f t="shared" si="98"/>
        <v>0</v>
      </c>
      <c r="AN49" s="223">
        <f t="shared" si="98"/>
        <v>0</v>
      </c>
      <c r="AO49" s="223">
        <f t="shared" si="98"/>
        <v>0</v>
      </c>
      <c r="AP49" s="60"/>
      <c r="AQ49" s="60"/>
      <c r="AR49" s="60"/>
      <c r="AS49" s="60"/>
      <c r="AT49" s="60"/>
    </row>
    <row r="50" spans="2:46" ht="14.25" customHeight="1" outlineLevel="1">
      <c r="B50" s="1">
        <f>IF(C50=справочник!$A$16,D50*2.2%/4,0)</f>
        <v>0</v>
      </c>
      <c r="C50" s="1">
        <f>Предпосылки!J36</f>
        <v>0</v>
      </c>
      <c r="D50" s="1">
        <f>Предпосылки!L69/(1+Предпосылки!F36)</f>
        <v>0</v>
      </c>
      <c r="E50" s="206">
        <f>Предпосылки!H69-Предпосылки!M69</f>
        <v>0</v>
      </c>
      <c r="F50" s="36">
        <f>Предпосылки!H36</f>
        <v>0</v>
      </c>
      <c r="G50" s="140">
        <f t="shared" si="95"/>
        <v>0</v>
      </c>
      <c r="H50" s="207" t="str">
        <f>Предпосылки!B36</f>
        <v>Оборудование 14</v>
      </c>
      <c r="I50" s="204"/>
      <c r="J50" s="222"/>
      <c r="K50" s="222"/>
      <c r="L50" s="223">
        <f t="shared" si="96"/>
        <v>0</v>
      </c>
      <c r="M50" s="223">
        <f t="shared" si="96"/>
        <v>0</v>
      </c>
      <c r="N50" s="223">
        <f t="shared" si="96"/>
        <v>0</v>
      </c>
      <c r="O50" s="223">
        <f t="shared" si="96"/>
        <v>0</v>
      </c>
      <c r="P50" s="223">
        <f t="shared" si="96"/>
        <v>0</v>
      </c>
      <c r="Q50" s="223">
        <f t="shared" si="96"/>
        <v>0</v>
      </c>
      <c r="R50" s="223">
        <f t="shared" si="96"/>
        <v>0</v>
      </c>
      <c r="S50" s="223">
        <f t="shared" si="96"/>
        <v>0</v>
      </c>
      <c r="T50" s="223">
        <f t="shared" si="96"/>
        <v>0</v>
      </c>
      <c r="U50" s="223">
        <f t="shared" si="96"/>
        <v>0</v>
      </c>
      <c r="V50" s="223">
        <f t="shared" si="96"/>
        <v>0</v>
      </c>
      <c r="W50" s="223">
        <f t="shared" si="96"/>
        <v>0</v>
      </c>
      <c r="X50" s="223">
        <f t="shared" si="96"/>
        <v>0</v>
      </c>
      <c r="Y50" s="223">
        <f t="shared" si="96"/>
        <v>0</v>
      </c>
      <c r="Z50" s="223">
        <f t="shared" si="96"/>
        <v>0</v>
      </c>
      <c r="AA50" s="223">
        <f t="shared" si="96"/>
        <v>0</v>
      </c>
      <c r="AB50" s="223">
        <f t="shared" si="98"/>
        <v>0</v>
      </c>
      <c r="AC50" s="223">
        <f t="shared" si="98"/>
        <v>0</v>
      </c>
      <c r="AD50" s="223">
        <f t="shared" si="98"/>
        <v>0</v>
      </c>
      <c r="AE50" s="223">
        <f t="shared" si="98"/>
        <v>0</v>
      </c>
      <c r="AF50" s="223">
        <f t="shared" si="98"/>
        <v>0</v>
      </c>
      <c r="AG50" s="223">
        <f t="shared" si="98"/>
        <v>0</v>
      </c>
      <c r="AH50" s="223">
        <f t="shared" si="98"/>
        <v>0</v>
      </c>
      <c r="AI50" s="223">
        <f t="shared" si="98"/>
        <v>0</v>
      </c>
      <c r="AJ50" s="223">
        <f t="shared" si="98"/>
        <v>0</v>
      </c>
      <c r="AK50" s="223">
        <f t="shared" si="98"/>
        <v>0</v>
      </c>
      <c r="AL50" s="223">
        <f t="shared" si="98"/>
        <v>0</v>
      </c>
      <c r="AM50" s="223">
        <f t="shared" si="98"/>
        <v>0</v>
      </c>
      <c r="AN50" s="223">
        <f t="shared" si="98"/>
        <v>0</v>
      </c>
      <c r="AO50" s="223">
        <f t="shared" si="98"/>
        <v>0</v>
      </c>
      <c r="AP50" s="60"/>
      <c r="AQ50" s="60"/>
      <c r="AR50" s="60"/>
      <c r="AS50" s="60"/>
      <c r="AT50" s="60"/>
    </row>
    <row r="51" spans="2:46" ht="14.25" customHeight="1" outlineLevel="1">
      <c r="B51" s="1">
        <f>IF(C51=справочник!$A$16,D51*2.2%/4,0)</f>
        <v>0</v>
      </c>
      <c r="C51" s="1">
        <f>Предпосылки!J37</f>
        <v>0</v>
      </c>
      <c r="D51" s="1">
        <f>Предпосылки!L70/(1+Предпосылки!F37)</f>
        <v>0</v>
      </c>
      <c r="E51" s="206">
        <f>Предпосылки!H70-Предпосылки!M70</f>
        <v>0</v>
      </c>
      <c r="F51" s="36">
        <f>Предпосылки!H37</f>
        <v>0</v>
      </c>
      <c r="G51" s="140">
        <f t="shared" si="95"/>
        <v>0</v>
      </c>
      <c r="H51" s="207" t="str">
        <f>Предпосылки!B37</f>
        <v>Оборудование 15</v>
      </c>
      <c r="I51" s="204"/>
      <c r="J51" s="222"/>
      <c r="K51" s="222"/>
      <c r="L51" s="223">
        <f t="shared" si="96"/>
        <v>0</v>
      </c>
      <c r="M51" s="223">
        <f t="shared" si="96"/>
        <v>0</v>
      </c>
      <c r="N51" s="223">
        <f t="shared" si="96"/>
        <v>0</v>
      </c>
      <c r="O51" s="223">
        <f t="shared" si="96"/>
        <v>0</v>
      </c>
      <c r="P51" s="223">
        <f t="shared" si="96"/>
        <v>0</v>
      </c>
      <c r="Q51" s="223">
        <f t="shared" si="96"/>
        <v>0</v>
      </c>
      <c r="R51" s="223">
        <f t="shared" si="96"/>
        <v>0</v>
      </c>
      <c r="S51" s="223">
        <f t="shared" si="96"/>
        <v>0</v>
      </c>
      <c r="T51" s="223">
        <f t="shared" si="96"/>
        <v>0</v>
      </c>
      <c r="U51" s="223">
        <f t="shared" si="96"/>
        <v>0</v>
      </c>
      <c r="V51" s="223">
        <f t="shared" si="96"/>
        <v>0</v>
      </c>
      <c r="W51" s="223">
        <f t="shared" si="96"/>
        <v>0</v>
      </c>
      <c r="X51" s="223">
        <f t="shared" si="96"/>
        <v>0</v>
      </c>
      <c r="Y51" s="223">
        <f t="shared" si="96"/>
        <v>0</v>
      </c>
      <c r="Z51" s="223">
        <f t="shared" si="96"/>
        <v>0</v>
      </c>
      <c r="AA51" s="223">
        <f t="shared" si="96"/>
        <v>0</v>
      </c>
      <c r="AB51" s="223">
        <f t="shared" si="98"/>
        <v>0</v>
      </c>
      <c r="AC51" s="223">
        <f t="shared" si="98"/>
        <v>0</v>
      </c>
      <c r="AD51" s="223">
        <f t="shared" si="98"/>
        <v>0</v>
      </c>
      <c r="AE51" s="223">
        <f t="shared" si="98"/>
        <v>0</v>
      </c>
      <c r="AF51" s="223">
        <f t="shared" si="98"/>
        <v>0</v>
      </c>
      <c r="AG51" s="223">
        <f t="shared" si="98"/>
        <v>0</v>
      </c>
      <c r="AH51" s="223">
        <f t="shared" si="98"/>
        <v>0</v>
      </c>
      <c r="AI51" s="223">
        <f t="shared" si="98"/>
        <v>0</v>
      </c>
      <c r="AJ51" s="223">
        <f t="shared" si="98"/>
        <v>0</v>
      </c>
      <c r="AK51" s="223">
        <f t="shared" si="98"/>
        <v>0</v>
      </c>
      <c r="AL51" s="223">
        <f t="shared" si="98"/>
        <v>0</v>
      </c>
      <c r="AM51" s="223">
        <f t="shared" si="98"/>
        <v>0</v>
      </c>
      <c r="AN51" s="223">
        <f t="shared" si="98"/>
        <v>0</v>
      </c>
      <c r="AO51" s="223">
        <f t="shared" si="98"/>
        <v>0</v>
      </c>
      <c r="AP51" s="60"/>
      <c r="AQ51" s="60"/>
      <c r="AR51" s="60"/>
      <c r="AS51" s="60"/>
      <c r="AT51" s="60"/>
    </row>
    <row r="52" spans="2:46" ht="14.25" customHeight="1" outlineLevel="1">
      <c r="B52" s="1">
        <f>IF(C52=справочник!$A$16,D52*2.2%/4,0)</f>
        <v>0</v>
      </c>
      <c r="C52" s="1">
        <f>Предпосылки!J38</f>
        <v>0</v>
      </c>
      <c r="D52" s="1">
        <f>Предпосылки!L71/(1+Предпосылки!F38)</f>
        <v>0</v>
      </c>
      <c r="E52" s="206">
        <f>Предпосылки!H71-Предпосылки!M71</f>
        <v>0</v>
      </c>
      <c r="F52" s="36">
        <f>Предпосылки!H38</f>
        <v>0</v>
      </c>
      <c r="G52" s="140">
        <f t="shared" si="95"/>
        <v>0</v>
      </c>
      <c r="H52" s="207" t="str">
        <f>Предпосылки!B38</f>
        <v>Оборудование 16</v>
      </c>
      <c r="I52" s="204"/>
      <c r="J52" s="222"/>
      <c r="K52" s="222"/>
      <c r="L52" s="223">
        <f t="shared" si="96"/>
        <v>0</v>
      </c>
      <c r="M52" s="223">
        <f t="shared" si="96"/>
        <v>0</v>
      </c>
      <c r="N52" s="223">
        <f t="shared" si="96"/>
        <v>0</v>
      </c>
      <c r="O52" s="223">
        <f t="shared" si="96"/>
        <v>0</v>
      </c>
      <c r="P52" s="223">
        <f t="shared" si="96"/>
        <v>0</v>
      </c>
      <c r="Q52" s="223">
        <f t="shared" si="96"/>
        <v>0</v>
      </c>
      <c r="R52" s="223">
        <f t="shared" si="96"/>
        <v>0</v>
      </c>
      <c r="S52" s="223">
        <f t="shared" si="96"/>
        <v>0</v>
      </c>
      <c r="T52" s="223">
        <f t="shared" si="96"/>
        <v>0</v>
      </c>
      <c r="U52" s="223">
        <f t="shared" si="96"/>
        <v>0</v>
      </c>
      <c r="V52" s="223">
        <f t="shared" si="96"/>
        <v>0</v>
      </c>
      <c r="W52" s="223">
        <f t="shared" si="96"/>
        <v>0</v>
      </c>
      <c r="X52" s="223">
        <f t="shared" si="96"/>
        <v>0</v>
      </c>
      <c r="Y52" s="223">
        <f t="shared" si="96"/>
        <v>0</v>
      </c>
      <c r="Z52" s="223">
        <f t="shared" si="96"/>
        <v>0</v>
      </c>
      <c r="AA52" s="223">
        <f t="shared" si="96"/>
        <v>0</v>
      </c>
      <c r="AB52" s="223">
        <f t="shared" si="98"/>
        <v>0</v>
      </c>
      <c r="AC52" s="223">
        <f t="shared" si="98"/>
        <v>0</v>
      </c>
      <c r="AD52" s="223">
        <f t="shared" si="98"/>
        <v>0</v>
      </c>
      <c r="AE52" s="223">
        <f t="shared" si="98"/>
        <v>0</v>
      </c>
      <c r="AF52" s="223">
        <f t="shared" si="98"/>
        <v>0</v>
      </c>
      <c r="AG52" s="223">
        <f t="shared" si="98"/>
        <v>0</v>
      </c>
      <c r="AH52" s="223">
        <f t="shared" si="98"/>
        <v>0</v>
      </c>
      <c r="AI52" s="223">
        <f t="shared" si="98"/>
        <v>0</v>
      </c>
      <c r="AJ52" s="223">
        <f t="shared" si="98"/>
        <v>0</v>
      </c>
      <c r="AK52" s="223">
        <f t="shared" si="98"/>
        <v>0</v>
      </c>
      <c r="AL52" s="223">
        <f t="shared" si="98"/>
        <v>0</v>
      </c>
      <c r="AM52" s="223">
        <f t="shared" si="98"/>
        <v>0</v>
      </c>
      <c r="AN52" s="223">
        <f t="shared" si="98"/>
        <v>0</v>
      </c>
      <c r="AO52" s="223">
        <f t="shared" si="98"/>
        <v>0</v>
      </c>
      <c r="AP52" s="60"/>
      <c r="AQ52" s="60"/>
      <c r="AR52" s="60"/>
      <c r="AS52" s="60"/>
      <c r="AT52" s="60"/>
    </row>
    <row r="53" spans="2:46" ht="14.25" customHeight="1" outlineLevel="1">
      <c r="B53" s="1">
        <f>IF(C53=справочник!$A$16,D53*2.2%/4,0)</f>
        <v>0</v>
      </c>
      <c r="C53" s="1">
        <f>Предпосылки!J39</f>
        <v>0</v>
      </c>
      <c r="D53" s="1">
        <f>Предпосылки!L72/(1+Предпосылки!F39)</f>
        <v>0</v>
      </c>
      <c r="E53" s="206">
        <f>Предпосылки!H72-Предпосылки!M72</f>
        <v>0</v>
      </c>
      <c r="F53" s="36">
        <f>Предпосылки!H39</f>
        <v>0</v>
      </c>
      <c r="G53" s="140">
        <f t="shared" si="95"/>
        <v>0</v>
      </c>
      <c r="H53" s="207" t="str">
        <f>Предпосылки!B39</f>
        <v>Оборудование 17</v>
      </c>
      <c r="I53" s="204"/>
      <c r="J53" s="222"/>
      <c r="K53" s="222"/>
      <c r="L53" s="223">
        <f t="shared" si="96"/>
        <v>0</v>
      </c>
      <c r="M53" s="223">
        <f t="shared" si="96"/>
        <v>0</v>
      </c>
      <c r="N53" s="223">
        <f t="shared" si="96"/>
        <v>0</v>
      </c>
      <c r="O53" s="223">
        <f t="shared" si="96"/>
        <v>0</v>
      </c>
      <c r="P53" s="223">
        <f t="shared" si="96"/>
        <v>0</v>
      </c>
      <c r="Q53" s="223">
        <f t="shared" si="96"/>
        <v>0</v>
      </c>
      <c r="R53" s="223">
        <f t="shared" si="96"/>
        <v>0</v>
      </c>
      <c r="S53" s="223">
        <f t="shared" si="96"/>
        <v>0</v>
      </c>
      <c r="T53" s="223">
        <f t="shared" si="96"/>
        <v>0</v>
      </c>
      <c r="U53" s="223">
        <f t="shared" si="96"/>
        <v>0</v>
      </c>
      <c r="V53" s="223">
        <f t="shared" si="96"/>
        <v>0</v>
      </c>
      <c r="W53" s="223">
        <f t="shared" si="96"/>
        <v>0</v>
      </c>
      <c r="X53" s="223">
        <f t="shared" si="96"/>
        <v>0</v>
      </c>
      <c r="Y53" s="223">
        <f t="shared" si="96"/>
        <v>0</v>
      </c>
      <c r="Z53" s="223">
        <f t="shared" si="96"/>
        <v>0</v>
      </c>
      <c r="AA53" s="223">
        <f t="shared" si="96"/>
        <v>0</v>
      </c>
      <c r="AB53" s="223">
        <f t="shared" si="98"/>
        <v>0</v>
      </c>
      <c r="AC53" s="223">
        <f t="shared" si="98"/>
        <v>0</v>
      </c>
      <c r="AD53" s="223">
        <f t="shared" si="98"/>
        <v>0</v>
      </c>
      <c r="AE53" s="223">
        <f t="shared" si="98"/>
        <v>0</v>
      </c>
      <c r="AF53" s="223">
        <f t="shared" si="98"/>
        <v>0</v>
      </c>
      <c r="AG53" s="223">
        <f t="shared" si="98"/>
        <v>0</v>
      </c>
      <c r="AH53" s="223">
        <f t="shared" si="98"/>
        <v>0</v>
      </c>
      <c r="AI53" s="223">
        <f t="shared" si="98"/>
        <v>0</v>
      </c>
      <c r="AJ53" s="223">
        <f t="shared" si="98"/>
        <v>0</v>
      </c>
      <c r="AK53" s="223">
        <f t="shared" si="98"/>
        <v>0</v>
      </c>
      <c r="AL53" s="223">
        <f t="shared" si="98"/>
        <v>0</v>
      </c>
      <c r="AM53" s="223">
        <f t="shared" si="98"/>
        <v>0</v>
      </c>
      <c r="AN53" s="223">
        <f t="shared" si="98"/>
        <v>0</v>
      </c>
      <c r="AO53" s="223">
        <f t="shared" si="98"/>
        <v>0</v>
      </c>
      <c r="AP53" s="60"/>
      <c r="AQ53" s="60"/>
      <c r="AR53" s="60"/>
      <c r="AS53" s="60"/>
      <c r="AT53" s="60"/>
    </row>
    <row r="54" spans="2:46" ht="14.25" customHeight="1" outlineLevel="1">
      <c r="B54" s="1">
        <f>IF(C54=справочник!$A$16,D54*2.2%/4,0)</f>
        <v>0</v>
      </c>
      <c r="C54" s="1">
        <f>Предпосылки!J40</f>
        <v>0</v>
      </c>
      <c r="D54" s="1">
        <f>Предпосылки!L73/(1+Предпосылки!F40)</f>
        <v>0</v>
      </c>
      <c r="E54" s="206">
        <f>Предпосылки!H73-Предпосылки!M73</f>
        <v>0</v>
      </c>
      <c r="F54" s="36">
        <f>Предпосылки!H40</f>
        <v>0</v>
      </c>
      <c r="G54" s="140">
        <f t="shared" si="95"/>
        <v>0</v>
      </c>
      <c r="H54" s="207" t="str">
        <f>Предпосылки!B40</f>
        <v>Оборудование 18</v>
      </c>
      <c r="I54" s="204"/>
      <c r="J54" s="222"/>
      <c r="K54" s="222"/>
      <c r="L54" s="223">
        <f t="shared" si="96"/>
        <v>0</v>
      </c>
      <c r="M54" s="223">
        <f t="shared" si="96"/>
        <v>0</v>
      </c>
      <c r="N54" s="223">
        <f t="shared" si="96"/>
        <v>0</v>
      </c>
      <c r="O54" s="223">
        <f t="shared" si="96"/>
        <v>0</v>
      </c>
      <c r="P54" s="223">
        <f t="shared" si="96"/>
        <v>0</v>
      </c>
      <c r="Q54" s="223">
        <f t="shared" si="96"/>
        <v>0</v>
      </c>
      <c r="R54" s="223">
        <f t="shared" si="96"/>
        <v>0</v>
      </c>
      <c r="S54" s="223">
        <f t="shared" si="96"/>
        <v>0</v>
      </c>
      <c r="T54" s="223">
        <f t="shared" si="96"/>
        <v>0</v>
      </c>
      <c r="U54" s="223">
        <f t="shared" si="96"/>
        <v>0</v>
      </c>
      <c r="V54" s="223">
        <f t="shared" si="96"/>
        <v>0</v>
      </c>
      <c r="W54" s="223">
        <f t="shared" si="96"/>
        <v>0</v>
      </c>
      <c r="X54" s="223">
        <f t="shared" si="96"/>
        <v>0</v>
      </c>
      <c r="Y54" s="223">
        <f t="shared" si="96"/>
        <v>0</v>
      </c>
      <c r="Z54" s="223">
        <f t="shared" si="96"/>
        <v>0</v>
      </c>
      <c r="AA54" s="223">
        <f t="shared" si="96"/>
        <v>0</v>
      </c>
      <c r="AB54" s="223">
        <f t="shared" si="98"/>
        <v>0</v>
      </c>
      <c r="AC54" s="223">
        <f t="shared" si="98"/>
        <v>0</v>
      </c>
      <c r="AD54" s="223">
        <f t="shared" si="98"/>
        <v>0</v>
      </c>
      <c r="AE54" s="223">
        <f t="shared" si="98"/>
        <v>0</v>
      </c>
      <c r="AF54" s="223">
        <f t="shared" si="98"/>
        <v>0</v>
      </c>
      <c r="AG54" s="223">
        <f t="shared" si="98"/>
        <v>0</v>
      </c>
      <c r="AH54" s="223">
        <f t="shared" si="98"/>
        <v>0</v>
      </c>
      <c r="AI54" s="223">
        <f t="shared" si="98"/>
        <v>0</v>
      </c>
      <c r="AJ54" s="223">
        <f t="shared" si="98"/>
        <v>0</v>
      </c>
      <c r="AK54" s="223">
        <f t="shared" si="98"/>
        <v>0</v>
      </c>
      <c r="AL54" s="223">
        <f t="shared" si="98"/>
        <v>0</v>
      </c>
      <c r="AM54" s="223">
        <f t="shared" si="98"/>
        <v>0</v>
      </c>
      <c r="AN54" s="223">
        <f t="shared" si="98"/>
        <v>0</v>
      </c>
      <c r="AO54" s="223">
        <f t="shared" si="98"/>
        <v>0</v>
      </c>
      <c r="AP54" s="60"/>
      <c r="AQ54" s="60"/>
      <c r="AR54" s="60"/>
      <c r="AS54" s="60"/>
      <c r="AT54" s="60"/>
    </row>
    <row r="55" spans="2:46" ht="14.25" customHeight="1" outlineLevel="1">
      <c r="B55" s="1">
        <f>IF(C55=справочник!$A$16,D55*2.2%/4,0)</f>
        <v>0</v>
      </c>
      <c r="C55" s="1">
        <f>Предпосылки!J41</f>
        <v>0</v>
      </c>
      <c r="D55" s="1">
        <f>Предпосылки!L74/(1+Предпосылки!F41)</f>
        <v>0</v>
      </c>
      <c r="E55" s="206">
        <f>Предпосылки!H74-Предпосылки!M74</f>
        <v>0</v>
      </c>
      <c r="F55" s="36">
        <f>Предпосылки!H41</f>
        <v>0</v>
      </c>
      <c r="G55" s="140">
        <f t="shared" si="95"/>
        <v>0</v>
      </c>
      <c r="H55" s="207" t="str">
        <f>Предпосылки!B41</f>
        <v>Оборудование 19</v>
      </c>
      <c r="I55" s="204"/>
      <c r="J55" s="222"/>
      <c r="K55" s="222"/>
      <c r="L55" s="223">
        <f t="shared" si="96"/>
        <v>0</v>
      </c>
      <c r="M55" s="223">
        <f t="shared" si="96"/>
        <v>0</v>
      </c>
      <c r="N55" s="223">
        <f t="shared" si="96"/>
        <v>0</v>
      </c>
      <c r="O55" s="223">
        <f t="shared" si="96"/>
        <v>0</v>
      </c>
      <c r="P55" s="223">
        <f t="shared" si="96"/>
        <v>0</v>
      </c>
      <c r="Q55" s="223">
        <f t="shared" si="96"/>
        <v>0</v>
      </c>
      <c r="R55" s="223">
        <f t="shared" si="96"/>
        <v>0</v>
      </c>
      <c r="S55" s="223">
        <f t="shared" si="96"/>
        <v>0</v>
      </c>
      <c r="T55" s="223">
        <f t="shared" si="96"/>
        <v>0</v>
      </c>
      <c r="U55" s="223">
        <f t="shared" si="96"/>
        <v>0</v>
      </c>
      <c r="V55" s="223">
        <f t="shared" si="96"/>
        <v>0</v>
      </c>
      <c r="W55" s="223">
        <f t="shared" si="96"/>
        <v>0</v>
      </c>
      <c r="X55" s="223">
        <f t="shared" si="96"/>
        <v>0</v>
      </c>
      <c r="Y55" s="223">
        <f t="shared" si="96"/>
        <v>0</v>
      </c>
      <c r="Z55" s="223">
        <f t="shared" si="96"/>
        <v>0</v>
      </c>
      <c r="AA55" s="223">
        <f t="shared" si="96"/>
        <v>0</v>
      </c>
      <c r="AB55" s="223">
        <f t="shared" si="98"/>
        <v>0</v>
      </c>
      <c r="AC55" s="223">
        <f t="shared" si="98"/>
        <v>0</v>
      </c>
      <c r="AD55" s="223">
        <f t="shared" si="98"/>
        <v>0</v>
      </c>
      <c r="AE55" s="223">
        <f t="shared" si="98"/>
        <v>0</v>
      </c>
      <c r="AF55" s="223">
        <f t="shared" si="98"/>
        <v>0</v>
      </c>
      <c r="AG55" s="223">
        <f t="shared" si="98"/>
        <v>0</v>
      </c>
      <c r="AH55" s="223">
        <f t="shared" si="98"/>
        <v>0</v>
      </c>
      <c r="AI55" s="223">
        <f t="shared" si="98"/>
        <v>0</v>
      </c>
      <c r="AJ55" s="223">
        <f t="shared" si="98"/>
        <v>0</v>
      </c>
      <c r="AK55" s="223">
        <f t="shared" si="98"/>
        <v>0</v>
      </c>
      <c r="AL55" s="223">
        <f t="shared" si="98"/>
        <v>0</v>
      </c>
      <c r="AM55" s="223">
        <f t="shared" si="98"/>
        <v>0</v>
      </c>
      <c r="AN55" s="223">
        <f t="shared" si="98"/>
        <v>0</v>
      </c>
      <c r="AO55" s="223">
        <f t="shared" si="98"/>
        <v>0</v>
      </c>
      <c r="AP55" s="60"/>
      <c r="AQ55" s="60"/>
      <c r="AR55" s="60"/>
      <c r="AS55" s="60"/>
      <c r="AT55" s="60"/>
    </row>
    <row r="56" spans="2:46" ht="14.25" customHeight="1" outlineLevel="1">
      <c r="B56" s="1">
        <f>IF(C56=справочник!$A$16,D56*2.2%/4,0)</f>
        <v>0</v>
      </c>
      <c r="C56" s="1">
        <f>Предпосылки!J42</f>
        <v>0</v>
      </c>
      <c r="D56" s="1">
        <f>Предпосылки!L75/(1+Предпосылки!F42)</f>
        <v>0</v>
      </c>
      <c r="E56" s="206">
        <f>Предпосылки!H75-Предпосылки!M75</f>
        <v>0</v>
      </c>
      <c r="F56" s="36">
        <f>Предпосылки!H42</f>
        <v>0</v>
      </c>
      <c r="G56" s="140">
        <f t="shared" si="95"/>
        <v>0</v>
      </c>
      <c r="H56" s="207" t="str">
        <f>Предпосылки!B42</f>
        <v>Оборудование 20</v>
      </c>
      <c r="I56" s="204"/>
      <c r="J56" s="222"/>
      <c r="K56" s="222"/>
      <c r="L56" s="223">
        <f t="shared" si="96"/>
        <v>0</v>
      </c>
      <c r="M56" s="223">
        <f t="shared" si="96"/>
        <v>0</v>
      </c>
      <c r="N56" s="223">
        <f t="shared" si="96"/>
        <v>0</v>
      </c>
      <c r="O56" s="223">
        <f t="shared" si="96"/>
        <v>0</v>
      </c>
      <c r="P56" s="223">
        <f t="shared" si="96"/>
        <v>0</v>
      </c>
      <c r="Q56" s="223">
        <f t="shared" si="96"/>
        <v>0</v>
      </c>
      <c r="R56" s="223">
        <f t="shared" si="96"/>
        <v>0</v>
      </c>
      <c r="S56" s="223">
        <f t="shared" si="96"/>
        <v>0</v>
      </c>
      <c r="T56" s="223">
        <f t="shared" si="96"/>
        <v>0</v>
      </c>
      <c r="U56" s="223">
        <f t="shared" si="96"/>
        <v>0</v>
      </c>
      <c r="V56" s="223">
        <f t="shared" si="96"/>
        <v>0</v>
      </c>
      <c r="W56" s="223">
        <f t="shared" si="96"/>
        <v>0</v>
      </c>
      <c r="X56" s="223">
        <f t="shared" si="96"/>
        <v>0</v>
      </c>
      <c r="Y56" s="223">
        <f t="shared" si="96"/>
        <v>0</v>
      </c>
      <c r="Z56" s="223">
        <f t="shared" si="96"/>
        <v>0</v>
      </c>
      <c r="AA56" s="223">
        <f t="shared" si="96"/>
        <v>0</v>
      </c>
      <c r="AB56" s="223">
        <f t="shared" si="98"/>
        <v>0</v>
      </c>
      <c r="AC56" s="223">
        <f t="shared" si="98"/>
        <v>0</v>
      </c>
      <c r="AD56" s="223">
        <f t="shared" si="98"/>
        <v>0</v>
      </c>
      <c r="AE56" s="223">
        <f t="shared" si="98"/>
        <v>0</v>
      </c>
      <c r="AF56" s="223">
        <f t="shared" si="98"/>
        <v>0</v>
      </c>
      <c r="AG56" s="223">
        <f t="shared" si="98"/>
        <v>0</v>
      </c>
      <c r="AH56" s="223">
        <f t="shared" si="98"/>
        <v>0</v>
      </c>
      <c r="AI56" s="223">
        <f t="shared" si="98"/>
        <v>0</v>
      </c>
      <c r="AJ56" s="223">
        <f t="shared" si="98"/>
        <v>0</v>
      </c>
      <c r="AK56" s="223">
        <f t="shared" si="98"/>
        <v>0</v>
      </c>
      <c r="AL56" s="223">
        <f t="shared" si="98"/>
        <v>0</v>
      </c>
      <c r="AM56" s="223">
        <f t="shared" si="98"/>
        <v>0</v>
      </c>
      <c r="AN56" s="223">
        <f t="shared" si="98"/>
        <v>0</v>
      </c>
      <c r="AO56" s="223">
        <f t="shared" si="98"/>
        <v>0</v>
      </c>
      <c r="AP56" s="60"/>
      <c r="AQ56" s="60"/>
      <c r="AR56" s="60"/>
      <c r="AS56" s="60"/>
      <c r="AT56" s="60"/>
    </row>
    <row r="57" spans="2:46" ht="14.25" customHeight="1">
      <c r="H57" s="120" t="s">
        <v>71</v>
      </c>
      <c r="I57" s="121" t="s">
        <v>29</v>
      </c>
      <c r="J57" s="225">
        <f>SUM(J35:J36)</f>
        <v>4617.8680000000013</v>
      </c>
      <c r="K57" s="225">
        <f t="shared" ref="K57:AO57" si="99">SUM(K35:K36)</f>
        <v>4617.8680000000013</v>
      </c>
      <c r="L57" s="224">
        <f>SUM(L35:L36)</f>
        <v>0</v>
      </c>
      <c r="M57" s="224">
        <f t="shared" si="99"/>
        <v>0</v>
      </c>
      <c r="N57" s="224">
        <f t="shared" si="99"/>
        <v>0</v>
      </c>
      <c r="O57" s="224">
        <f t="shared" si="99"/>
        <v>4617.8680000000013</v>
      </c>
      <c r="P57" s="224">
        <f t="shared" si="99"/>
        <v>0</v>
      </c>
      <c r="Q57" s="224">
        <f t="shared" si="99"/>
        <v>0</v>
      </c>
      <c r="R57" s="224">
        <f t="shared" si="99"/>
        <v>0</v>
      </c>
      <c r="S57" s="224">
        <f t="shared" si="99"/>
        <v>0</v>
      </c>
      <c r="T57" s="224">
        <f t="shared" si="99"/>
        <v>0</v>
      </c>
      <c r="U57" s="224">
        <f>SUM(U35:U36)</f>
        <v>0</v>
      </c>
      <c r="V57" s="224">
        <f t="shared" si="99"/>
        <v>0</v>
      </c>
      <c r="W57" s="224">
        <f t="shared" si="99"/>
        <v>0</v>
      </c>
      <c r="X57" s="224">
        <f t="shared" si="99"/>
        <v>0</v>
      </c>
      <c r="Y57" s="224">
        <f t="shared" si="99"/>
        <v>0</v>
      </c>
      <c r="Z57" s="224">
        <f t="shared" si="99"/>
        <v>0</v>
      </c>
      <c r="AA57" s="224">
        <f t="shared" si="99"/>
        <v>0</v>
      </c>
      <c r="AB57" s="224">
        <f t="shared" si="99"/>
        <v>0</v>
      </c>
      <c r="AC57" s="224">
        <f t="shared" si="99"/>
        <v>0</v>
      </c>
      <c r="AD57" s="224">
        <f t="shared" si="99"/>
        <v>0</v>
      </c>
      <c r="AE57" s="224">
        <f t="shared" si="99"/>
        <v>0</v>
      </c>
      <c r="AF57" s="224">
        <f t="shared" si="99"/>
        <v>0</v>
      </c>
      <c r="AG57" s="224">
        <f t="shared" si="99"/>
        <v>0</v>
      </c>
      <c r="AH57" s="224">
        <f t="shared" si="99"/>
        <v>0</v>
      </c>
      <c r="AI57" s="224">
        <f t="shared" si="99"/>
        <v>0</v>
      </c>
      <c r="AJ57" s="224">
        <f t="shared" si="99"/>
        <v>0</v>
      </c>
      <c r="AK57" s="224">
        <f t="shared" si="99"/>
        <v>0</v>
      </c>
      <c r="AL57" s="224">
        <f t="shared" si="99"/>
        <v>0</v>
      </c>
      <c r="AM57" s="224">
        <f t="shared" si="99"/>
        <v>0</v>
      </c>
      <c r="AN57" s="224">
        <f t="shared" si="99"/>
        <v>0</v>
      </c>
      <c r="AO57" s="224">
        <f t="shared" si="99"/>
        <v>0</v>
      </c>
      <c r="AP57" s="60"/>
      <c r="AQ57" s="60"/>
      <c r="AR57" s="60"/>
      <c r="AS57" s="60"/>
      <c r="AT57" s="60"/>
    </row>
    <row r="58" spans="2:46" ht="20.25" customHeight="1">
      <c r="H58" s="60"/>
      <c r="I58" s="60"/>
      <c r="J58" s="60"/>
      <c r="K58" s="60"/>
      <c r="L58" s="228"/>
      <c r="M58" s="228"/>
      <c r="N58" s="228"/>
      <c r="O58" s="228"/>
      <c r="P58" s="228"/>
      <c r="Q58" s="228"/>
      <c r="R58" s="228"/>
      <c r="S58" s="228"/>
      <c r="T58" s="228"/>
      <c r="U58" s="228"/>
      <c r="V58" s="228"/>
      <c r="W58" s="228"/>
      <c r="X58" s="228"/>
      <c r="Y58" s="228"/>
      <c r="Z58" s="228"/>
      <c r="AA58" s="228"/>
      <c r="AB58" s="228"/>
      <c r="AC58" s="228"/>
      <c r="AD58" s="228"/>
      <c r="AE58" s="228"/>
      <c r="AF58" s="228"/>
      <c r="AG58" s="228"/>
      <c r="AH58" s="228"/>
      <c r="AI58" s="228"/>
      <c r="AJ58" s="228"/>
      <c r="AK58" s="228"/>
      <c r="AL58" s="228"/>
      <c r="AM58" s="228"/>
      <c r="AN58" s="228"/>
      <c r="AO58" s="228"/>
      <c r="AP58" s="60"/>
      <c r="AQ58" s="60"/>
      <c r="AR58" s="60"/>
      <c r="AS58" s="60"/>
      <c r="AT58" s="60"/>
    </row>
    <row r="59" spans="2:46" ht="20.25" customHeight="1">
      <c r="H59" s="113" t="s">
        <v>77</v>
      </c>
      <c r="I59" s="114"/>
      <c r="J59" s="114"/>
      <c r="K59" s="5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  <c r="AJ59" s="229"/>
      <c r="AK59" s="229"/>
      <c r="AL59" s="229"/>
      <c r="AM59" s="229"/>
      <c r="AN59" s="229"/>
      <c r="AO59" s="229"/>
      <c r="AP59" s="59"/>
      <c r="AQ59" s="59"/>
      <c r="AR59" s="59"/>
      <c r="AS59" s="60"/>
      <c r="AT59" s="60"/>
    </row>
    <row r="60" spans="2:46" ht="20.25" customHeight="1">
      <c r="H60" s="105" t="s">
        <v>235</v>
      </c>
      <c r="I60" s="107" t="s">
        <v>29</v>
      </c>
      <c r="J60" s="115">
        <f t="shared" ref="J60:J124" si="100">SUMIF($L$19:$AO$19,1,L60:AO60)</f>
        <v>3783.4699999999993</v>
      </c>
      <c r="K60" s="115">
        <f t="shared" ref="K60:K124" si="101">SUMIF($L$18:$AO$18,1,L60:AO60)</f>
        <v>3783.4699999999993</v>
      </c>
      <c r="L60" s="221">
        <f>SUM(L61:L73)</f>
        <v>-4.68</v>
      </c>
      <c r="M60" s="221">
        <f t="shared" ref="M60:AO60" si="102">SUM(M61:M73)</f>
        <v>-30.08</v>
      </c>
      <c r="N60" s="221">
        <f t="shared" si="102"/>
        <v>3922.23</v>
      </c>
      <c r="O60" s="221">
        <f t="shared" si="102"/>
        <v>408.76</v>
      </c>
      <c r="P60" s="221">
        <f t="shared" si="102"/>
        <v>-29.75</v>
      </c>
      <c r="Q60" s="221">
        <f t="shared" si="102"/>
        <v>-30.08</v>
      </c>
      <c r="R60" s="221">
        <f t="shared" si="102"/>
        <v>-30.42</v>
      </c>
      <c r="S60" s="221">
        <f t="shared" si="102"/>
        <v>-30.42</v>
      </c>
      <c r="T60" s="221">
        <f t="shared" si="102"/>
        <v>-30.08</v>
      </c>
      <c r="U60" s="221">
        <f t="shared" si="102"/>
        <v>-30.08</v>
      </c>
      <c r="V60" s="221">
        <f t="shared" si="102"/>
        <v>-30.42</v>
      </c>
      <c r="W60" s="221">
        <f t="shared" si="102"/>
        <v>-30.42</v>
      </c>
      <c r="X60" s="221">
        <f t="shared" si="102"/>
        <v>-29.75</v>
      </c>
      <c r="Y60" s="221">
        <f t="shared" si="102"/>
        <v>-30.08</v>
      </c>
      <c r="Z60" s="221">
        <f t="shared" si="102"/>
        <v>-30.42</v>
      </c>
      <c r="AA60" s="221">
        <f t="shared" si="102"/>
        <v>-30.42</v>
      </c>
      <c r="AB60" s="221">
        <f t="shared" si="102"/>
        <v>-29.75</v>
      </c>
      <c r="AC60" s="221">
        <f t="shared" si="102"/>
        <v>-30.08</v>
      </c>
      <c r="AD60" s="221">
        <f t="shared" si="102"/>
        <v>-30.42</v>
      </c>
      <c r="AE60" s="221">
        <f t="shared" si="102"/>
        <v>-30.42</v>
      </c>
      <c r="AF60" s="221">
        <f t="shared" si="102"/>
        <v>-29.75</v>
      </c>
      <c r="AG60" s="221">
        <f t="shared" si="102"/>
        <v>0</v>
      </c>
      <c r="AH60" s="221">
        <f t="shared" si="102"/>
        <v>0</v>
      </c>
      <c r="AI60" s="221">
        <f t="shared" si="102"/>
        <v>0</v>
      </c>
      <c r="AJ60" s="221">
        <f t="shared" si="102"/>
        <v>0</v>
      </c>
      <c r="AK60" s="221">
        <f t="shared" si="102"/>
        <v>0</v>
      </c>
      <c r="AL60" s="221">
        <f t="shared" si="102"/>
        <v>0</v>
      </c>
      <c r="AM60" s="221">
        <f t="shared" si="102"/>
        <v>0</v>
      </c>
      <c r="AN60" s="221">
        <f t="shared" si="102"/>
        <v>0</v>
      </c>
      <c r="AO60" s="221">
        <f t="shared" si="102"/>
        <v>0</v>
      </c>
      <c r="AP60" s="60"/>
      <c r="AQ60" s="60"/>
      <c r="AR60" s="60"/>
      <c r="AS60" s="60"/>
      <c r="AT60" s="60"/>
    </row>
    <row r="61" spans="2:46" ht="20.25" customHeight="1" outlineLevel="1">
      <c r="H61" s="203" t="str">
        <f>Предпосылки!B263</f>
        <v>ИТОГО ПРЯМЫЕ РАСХОДЫ, в т.ч. НДС</v>
      </c>
      <c r="I61" s="204"/>
      <c r="J61" s="205">
        <f t="shared" si="100"/>
        <v>0</v>
      </c>
      <c r="K61" s="205">
        <f t="shared" si="101"/>
        <v>0</v>
      </c>
      <c r="L61" s="223">
        <f>-ROUND(Предпосылки!D263*L25,2)</f>
        <v>0</v>
      </c>
      <c r="M61" s="223">
        <f>-ROUND(Предпосылки!E263*M25,2)</f>
        <v>0</v>
      </c>
      <c r="N61" s="223">
        <f>-ROUND(Предпосылки!F263*N25,2)</f>
        <v>0</v>
      </c>
      <c r="O61" s="223">
        <f>-ROUND(Предпосылки!G263*O25,2)</f>
        <v>0</v>
      </c>
      <c r="P61" s="223">
        <f>-ROUND(Предпосылки!H263*P25,2)</f>
        <v>0</v>
      </c>
      <c r="Q61" s="223">
        <f>-ROUND(Предпосылки!I263*Q25,2)</f>
        <v>0</v>
      </c>
      <c r="R61" s="223">
        <f>-ROUND(Предпосылки!J263*R25,2)</f>
        <v>0</v>
      </c>
      <c r="S61" s="223">
        <f>-ROUND(Предпосылки!K263*S25,2)</f>
        <v>0</v>
      </c>
      <c r="T61" s="223">
        <f>-ROUND(Предпосылки!L263*T25,2)</f>
        <v>0</v>
      </c>
      <c r="U61" s="223">
        <f>-ROUND(Предпосылки!M263*U25,2)</f>
        <v>0</v>
      </c>
      <c r="V61" s="223">
        <f>-ROUND(Предпосылки!N263*V25,2)</f>
        <v>0</v>
      </c>
      <c r="W61" s="223">
        <f>-ROUND(Предпосылки!O263*W25,2)</f>
        <v>0</v>
      </c>
      <c r="X61" s="223">
        <f>-ROUND(Предпосылки!P263*X25,2)</f>
        <v>0</v>
      </c>
      <c r="Y61" s="223">
        <f>-ROUND(Предпосылки!Q263*Y25,2)</f>
        <v>0</v>
      </c>
      <c r="Z61" s="223">
        <f>-ROUND(Предпосылки!R263*Z25,2)</f>
        <v>0</v>
      </c>
      <c r="AA61" s="223">
        <f>-ROUND(Предпосылки!S263*AA25,2)</f>
        <v>0</v>
      </c>
      <c r="AB61" s="223">
        <f>-ROUND(Предпосылки!T263*AB25,2)</f>
        <v>0</v>
      </c>
      <c r="AC61" s="223">
        <f>-ROUND(Предпосылки!U263*AC25,2)</f>
        <v>0</v>
      </c>
      <c r="AD61" s="223">
        <f>-ROUND(Предпосылки!V263*AD25,2)</f>
        <v>0</v>
      </c>
      <c r="AE61" s="223">
        <f>-ROUND(Предпосылки!W263*AE25,2)</f>
        <v>0</v>
      </c>
      <c r="AF61" s="223">
        <f>-ROUND(Предпосылки!X263*AF25,2)</f>
        <v>0</v>
      </c>
      <c r="AG61" s="223">
        <f>-ROUND(Предпосылки!Y263*AG25,2)</f>
        <v>0</v>
      </c>
      <c r="AH61" s="223">
        <f>-ROUND(Предпосылки!Z263*AH25,2)</f>
        <v>0</v>
      </c>
      <c r="AI61" s="223">
        <f>-ROUND(Предпосылки!AA263*AI25,2)</f>
        <v>0</v>
      </c>
      <c r="AJ61" s="223">
        <f>-ROUND(Предпосылки!AB263*AJ25,2)</f>
        <v>0</v>
      </c>
      <c r="AK61" s="223">
        <f>-ROUND(Предпосылки!AC263*AK25,2)</f>
        <v>0</v>
      </c>
      <c r="AL61" s="223">
        <f>-ROUND(Предпосылки!AD263*AL25,2)</f>
        <v>0</v>
      </c>
      <c r="AM61" s="223">
        <f>-ROUND(Предпосылки!AE263*AM25,2)</f>
        <v>0</v>
      </c>
      <c r="AN61" s="223">
        <f>-ROUND(Предпосылки!AF263*AN25,2)</f>
        <v>0</v>
      </c>
      <c r="AO61" s="223">
        <f>-ROUND(Предпосылки!AG263*AO25,2)</f>
        <v>0</v>
      </c>
      <c r="AP61" s="60"/>
      <c r="AQ61" s="60"/>
      <c r="AR61" s="60"/>
      <c r="AS61" s="60"/>
      <c r="AT61" s="60"/>
    </row>
    <row r="62" spans="2:46" ht="20.25" customHeight="1" outlineLevel="1">
      <c r="H62" s="203" t="str">
        <f>Предпосылки!B266</f>
        <v>Корректировка закупки материалов за счет займа, в т.ч. НДС</v>
      </c>
      <c r="I62" s="204"/>
      <c r="J62" s="205">
        <f t="shared" si="100"/>
        <v>4391.83</v>
      </c>
      <c r="K62" s="205">
        <f t="shared" si="101"/>
        <v>4391.83</v>
      </c>
      <c r="L62" s="223">
        <f>-Предпосылки!D266</f>
        <v>0</v>
      </c>
      <c r="M62" s="223">
        <f>-Предпосылки!E266</f>
        <v>0</v>
      </c>
      <c r="N62" s="223">
        <f>-Предпосылки!F266</f>
        <v>3952.65</v>
      </c>
      <c r="O62" s="223">
        <f>-Предпосылки!G266</f>
        <v>439.18</v>
      </c>
      <c r="P62" s="223">
        <f>-Предпосылки!H266</f>
        <v>0</v>
      </c>
      <c r="Q62" s="223">
        <f>-Предпосылки!I266</f>
        <v>0</v>
      </c>
      <c r="R62" s="223">
        <f>-Предпосылки!J266</f>
        <v>0</v>
      </c>
      <c r="S62" s="223">
        <f>-Предпосылки!K266</f>
        <v>0</v>
      </c>
      <c r="T62" s="223">
        <f>-Предпосылки!L266</f>
        <v>0</v>
      </c>
      <c r="U62" s="223">
        <f>-Предпосылки!M266</f>
        <v>0</v>
      </c>
      <c r="V62" s="223">
        <f>-Предпосылки!N266</f>
        <v>0</v>
      </c>
      <c r="W62" s="223">
        <f>-Предпосылки!O266</f>
        <v>0</v>
      </c>
      <c r="X62" s="223">
        <f>-Предпосылки!P266</f>
        <v>0</v>
      </c>
      <c r="Y62" s="223">
        <f>-Предпосылки!Q266</f>
        <v>0</v>
      </c>
      <c r="Z62" s="223">
        <f>-Предпосылки!R266</f>
        <v>0</v>
      </c>
      <c r="AA62" s="223">
        <f>-Предпосылки!S266</f>
        <v>0</v>
      </c>
      <c r="AB62" s="223">
        <f>-Предпосылки!T266</f>
        <v>0</v>
      </c>
      <c r="AC62" s="223">
        <f>-Предпосылки!U266</f>
        <v>0</v>
      </c>
      <c r="AD62" s="223">
        <f>-Предпосылки!V266</f>
        <v>0</v>
      </c>
      <c r="AE62" s="223">
        <f>-Предпосылки!W266</f>
        <v>0</v>
      </c>
      <c r="AF62" s="223">
        <f>-Предпосылки!X266</f>
        <v>0</v>
      </c>
      <c r="AG62" s="223">
        <f>-Предпосылки!Y266</f>
        <v>0</v>
      </c>
      <c r="AH62" s="223">
        <f>-Предпосылки!Z266</f>
        <v>0</v>
      </c>
      <c r="AI62" s="223">
        <f>-Предпосылки!AA266</f>
        <v>0</v>
      </c>
      <c r="AJ62" s="223">
        <f>-Предпосылки!AB266</f>
        <v>0</v>
      </c>
      <c r="AK62" s="223">
        <f>-Предпосылки!AC266</f>
        <v>0</v>
      </c>
      <c r="AL62" s="223">
        <f>-Предпосылки!AD266</f>
        <v>0</v>
      </c>
      <c r="AM62" s="223">
        <f>-Предпосылки!AE266</f>
        <v>0</v>
      </c>
      <c r="AN62" s="223">
        <f>-Предпосылки!AF266</f>
        <v>0</v>
      </c>
      <c r="AO62" s="223">
        <f>-Предпосылки!AG266</f>
        <v>0</v>
      </c>
      <c r="AP62" s="60"/>
      <c r="AQ62" s="60"/>
      <c r="AR62" s="60"/>
      <c r="AS62" s="60"/>
      <c r="AT62" s="60"/>
    </row>
    <row r="63" spans="2:46" ht="20.25" customHeight="1" outlineLevel="1">
      <c r="H63" s="203" t="str">
        <f>Предпосылки!B275</f>
        <v>Комиссионное вознаграждение за банковскую гарантию</v>
      </c>
      <c r="I63" s="204"/>
      <c r="J63" s="205">
        <f t="shared" si="100"/>
        <v>-608.36</v>
      </c>
      <c r="K63" s="205">
        <f t="shared" si="101"/>
        <v>-608.36</v>
      </c>
      <c r="L63" s="223">
        <f>-Предпосылки!G275</f>
        <v>-4.68</v>
      </c>
      <c r="M63" s="223">
        <f>-Предпосылки!H275</f>
        <v>-30.08</v>
      </c>
      <c r="N63" s="223">
        <f>-Предпосылки!I275</f>
        <v>-30.42</v>
      </c>
      <c r="O63" s="223">
        <f>-Предпосылки!J275</f>
        <v>-30.42</v>
      </c>
      <c r="P63" s="223">
        <f>-Предпосылки!K275</f>
        <v>-29.75</v>
      </c>
      <c r="Q63" s="223">
        <f>-Предпосылки!L275</f>
        <v>-30.08</v>
      </c>
      <c r="R63" s="223">
        <f>-Предпосылки!M275</f>
        <v>-30.42</v>
      </c>
      <c r="S63" s="223">
        <f>-Предпосылки!N275</f>
        <v>-30.42</v>
      </c>
      <c r="T63" s="223">
        <f>-Предпосылки!O275</f>
        <v>-30.08</v>
      </c>
      <c r="U63" s="223">
        <f>-Предпосылки!P275</f>
        <v>-30.08</v>
      </c>
      <c r="V63" s="223">
        <f>-Предпосылки!Q275</f>
        <v>-30.42</v>
      </c>
      <c r="W63" s="223">
        <f>-Предпосылки!R275</f>
        <v>-30.42</v>
      </c>
      <c r="X63" s="223">
        <f>-Предпосылки!S275</f>
        <v>-29.75</v>
      </c>
      <c r="Y63" s="223">
        <f>-Предпосылки!T275</f>
        <v>-30.08</v>
      </c>
      <c r="Z63" s="223">
        <f>-Предпосылки!U275</f>
        <v>-30.42</v>
      </c>
      <c r="AA63" s="223">
        <f>-Предпосылки!V275</f>
        <v>-30.42</v>
      </c>
      <c r="AB63" s="223">
        <f>-Предпосылки!W275</f>
        <v>-29.75</v>
      </c>
      <c r="AC63" s="223">
        <f>-Предпосылки!X275</f>
        <v>-30.08</v>
      </c>
      <c r="AD63" s="223">
        <f>-Предпосылки!Y275</f>
        <v>-30.42</v>
      </c>
      <c r="AE63" s="223">
        <f>-Предпосылки!Z275</f>
        <v>-30.42</v>
      </c>
      <c r="AF63" s="223">
        <f>-Предпосылки!AA275</f>
        <v>-29.75</v>
      </c>
      <c r="AG63" s="223">
        <f>-Предпосылки!AB275</f>
        <v>0</v>
      </c>
      <c r="AH63" s="223">
        <f>-Предпосылки!AC275</f>
        <v>0</v>
      </c>
      <c r="AI63" s="223">
        <f>-Предпосылки!AD275</f>
        <v>0</v>
      </c>
      <c r="AJ63" s="223">
        <f>-Предпосылки!AE275</f>
        <v>0</v>
      </c>
      <c r="AK63" s="223">
        <f>-Предпосылки!AF275</f>
        <v>0</v>
      </c>
      <c r="AL63" s="223">
        <f>-Предпосылки!AG275</f>
        <v>0</v>
      </c>
      <c r="AM63" s="223">
        <f>-Предпосылки!AH275</f>
        <v>0</v>
      </c>
      <c r="AN63" s="223">
        <f>-Предпосылки!AI275</f>
        <v>0</v>
      </c>
      <c r="AO63" s="223">
        <f>-Предпосылки!AJ275</f>
        <v>0</v>
      </c>
      <c r="AP63" s="60"/>
      <c r="AQ63" s="60"/>
      <c r="AR63" s="60"/>
      <c r="AS63" s="60"/>
      <c r="AT63" s="60"/>
    </row>
    <row r="64" spans="2:46" ht="20.25" customHeight="1" outlineLevel="1">
      <c r="H64" s="203" t="str">
        <f>Предпосылки!B276</f>
        <v>Общие нужды</v>
      </c>
      <c r="I64" s="204"/>
      <c r="J64" s="205">
        <f t="shared" si="100"/>
        <v>0</v>
      </c>
      <c r="K64" s="205">
        <f t="shared" si="101"/>
        <v>0</v>
      </c>
      <c r="L64" s="223">
        <f>ROUND(IF(Предпосылки!$F$276=справочник!$A$16,Предпосылки!G276*L27,Предпосылки!G276),2)*-1</f>
        <v>0</v>
      </c>
      <c r="M64" s="223">
        <f>ROUND(IF(Предпосылки!$F$276=справочник!$A$16,Предпосылки!H276*M27,Предпосылки!H276),2)*-1</f>
        <v>0</v>
      </c>
      <c r="N64" s="223">
        <f>ROUND(IF(Предпосылки!$F$276=справочник!$A$16,Предпосылки!I276*N27,Предпосылки!I276),2)*-1</f>
        <v>0</v>
      </c>
      <c r="O64" s="223">
        <f>ROUND(IF(Предпосылки!$F$276=справочник!$A$16,Предпосылки!J276*O27,Предпосылки!J276),2)*-1</f>
        <v>0</v>
      </c>
      <c r="P64" s="223">
        <f>ROUND(IF(Предпосылки!$F$276=справочник!$A$16,Предпосылки!K276*P27,Предпосылки!K276),2)*-1</f>
        <v>0</v>
      </c>
      <c r="Q64" s="223">
        <f>ROUND(IF(Предпосылки!$F$276=справочник!$A$16,Предпосылки!L276*Q27,Предпосылки!L276),2)*-1</f>
        <v>0</v>
      </c>
      <c r="R64" s="223">
        <f>ROUND(IF(Предпосылки!$F$276=справочник!$A$16,Предпосылки!M276*R27,Предпосылки!M276),2)*-1</f>
        <v>0</v>
      </c>
      <c r="S64" s="223">
        <f>ROUND(IF(Предпосылки!$F$276=справочник!$A$16,Предпосылки!N276*S27,Предпосылки!N276),2)*-1</f>
        <v>0</v>
      </c>
      <c r="T64" s="223">
        <f>ROUND(IF(Предпосылки!$F$276=справочник!$A$16,Предпосылки!O276*T27,Предпосылки!O276),2)*-1</f>
        <v>0</v>
      </c>
      <c r="U64" s="223">
        <f>ROUND(IF(Предпосылки!$F$276=справочник!$A$16,Предпосылки!P276*U27,Предпосылки!P276),2)*-1</f>
        <v>0</v>
      </c>
      <c r="V64" s="223">
        <f>ROUND(IF(Предпосылки!$F$276=справочник!$A$16,Предпосылки!Q276*V27,Предпосылки!Q276),2)*-1</f>
        <v>0</v>
      </c>
      <c r="W64" s="223">
        <f>ROUND(IF(Предпосылки!$F$276=справочник!$A$16,Предпосылки!R276*W27,Предпосылки!R276),2)*-1</f>
        <v>0</v>
      </c>
      <c r="X64" s="223">
        <f>ROUND(IF(Предпосылки!$F$276=справочник!$A$16,Предпосылки!S276*X27,Предпосылки!S276),2)*-1</f>
        <v>0</v>
      </c>
      <c r="Y64" s="223">
        <f>ROUND(IF(Предпосылки!$F$276=справочник!$A$16,Предпосылки!T276*Y27,Предпосылки!T276),2)*-1</f>
        <v>0</v>
      </c>
      <c r="Z64" s="223">
        <f>ROUND(IF(Предпосылки!$F$276=справочник!$A$16,Предпосылки!U276*Z27,Предпосылки!U276),2)*-1</f>
        <v>0</v>
      </c>
      <c r="AA64" s="223">
        <f>ROUND(IF(Предпосылки!$F$276=справочник!$A$16,Предпосылки!V276*AA27,Предпосылки!V276),2)*-1</f>
        <v>0</v>
      </c>
      <c r="AB64" s="223">
        <f>ROUND(IF(Предпосылки!$F$276=справочник!$A$16,Предпосылки!W276*AB27,Предпосылки!W276),2)*-1</f>
        <v>0</v>
      </c>
      <c r="AC64" s="223">
        <f>ROUND(IF(Предпосылки!$F$276=справочник!$A$16,Предпосылки!X276*AC27,Предпосылки!X276),2)*-1</f>
        <v>0</v>
      </c>
      <c r="AD64" s="223">
        <f>ROUND(IF(Предпосылки!$F$276=справочник!$A$16,Предпосылки!Y276*AD27,Предпосылки!Y276),2)*-1</f>
        <v>0</v>
      </c>
      <c r="AE64" s="223">
        <f>ROUND(IF(Предпосылки!$F$276=справочник!$A$16,Предпосылки!Z276*AE27,Предпосылки!Z276),2)*-1</f>
        <v>0</v>
      </c>
      <c r="AF64" s="223">
        <f>ROUND(IF(Предпосылки!$F$276=справочник!$A$16,Предпосылки!AA276*AF27,Предпосылки!AA276),2)*-1</f>
        <v>0</v>
      </c>
      <c r="AG64" s="223">
        <f>ROUND(IF(Предпосылки!$F$276=справочник!$A$16,Предпосылки!AB276*AG27,Предпосылки!AB276),2)*-1</f>
        <v>0</v>
      </c>
      <c r="AH64" s="223">
        <f>ROUND(IF(Предпосылки!$F$276=справочник!$A$16,Предпосылки!AC276*AH27,Предпосылки!AC276),2)*-1</f>
        <v>0</v>
      </c>
      <c r="AI64" s="223">
        <f>ROUND(IF(Предпосылки!$F$276=справочник!$A$16,Предпосылки!AD276*AI27,Предпосылки!AD276),2)*-1</f>
        <v>0</v>
      </c>
      <c r="AJ64" s="223">
        <f>ROUND(IF(Предпосылки!$F$276=справочник!$A$16,Предпосылки!AE276*AJ27,Предпосылки!AE276),2)*-1</f>
        <v>0</v>
      </c>
      <c r="AK64" s="223">
        <f>ROUND(IF(Предпосылки!$F$276=справочник!$A$16,Предпосылки!AF276*AK27,Предпосылки!AF276),2)*-1</f>
        <v>0</v>
      </c>
      <c r="AL64" s="223">
        <f>ROUND(IF(Предпосылки!$F$276=справочник!$A$16,Предпосылки!AG276*AL27,Предпосылки!AG276),2)*-1</f>
        <v>0</v>
      </c>
      <c r="AM64" s="223">
        <f>ROUND(IF(Предпосылки!$F$276=справочник!$A$16,Предпосылки!AH276*AM27,Предпосылки!AH276),2)*-1</f>
        <v>0</v>
      </c>
      <c r="AN64" s="223">
        <f>ROUND(IF(Предпосылки!$F$276=справочник!$A$16,Предпосылки!AI276*AN27,Предпосылки!AI276),2)*-1</f>
        <v>0</v>
      </c>
      <c r="AO64" s="223">
        <f>ROUND(IF(Предпосылки!$F$276=справочник!$A$16,Предпосылки!AJ276*AO27,Предпосылки!AJ276),2)*-1</f>
        <v>0</v>
      </c>
      <c r="AP64" s="60"/>
      <c r="AQ64" s="60"/>
      <c r="AR64" s="60"/>
      <c r="AS64" s="60"/>
      <c r="AT64" s="60"/>
    </row>
    <row r="65" spans="8:46" ht="20.25" customHeight="1" outlineLevel="1">
      <c r="H65" s="203" t="str">
        <f>Предпосылки!B277</f>
        <v>Ремонт и обслуживание оборудования</v>
      </c>
      <c r="I65" s="204"/>
      <c r="J65" s="205">
        <f t="shared" si="100"/>
        <v>0</v>
      </c>
      <c r="K65" s="205">
        <f t="shared" si="101"/>
        <v>0</v>
      </c>
      <c r="L65" s="223">
        <f>ROUND(IF(Предпосылки!$F$277=справочник!$A$16,Предпосылки!G277*L27,Предпосылки!G277),2)*-1</f>
        <v>0</v>
      </c>
      <c r="M65" s="223">
        <f>ROUND(IF(Предпосылки!$F$277=справочник!$A$16,Предпосылки!H277*M27,Предпосылки!H277),2)*-1</f>
        <v>0</v>
      </c>
      <c r="N65" s="223">
        <f>ROUND(IF(Предпосылки!$F$277=справочник!$A$16,Предпосылки!I277*N27,Предпосылки!I277),2)*-1</f>
        <v>0</v>
      </c>
      <c r="O65" s="223">
        <f>ROUND(IF(Предпосылки!$F$277=справочник!$A$16,Предпосылки!J277*O27,Предпосылки!J277),2)*-1</f>
        <v>0</v>
      </c>
      <c r="P65" s="223">
        <f>ROUND(IF(Предпосылки!$F$277=справочник!$A$16,Предпосылки!K277*P27,Предпосылки!K277),2)*-1</f>
        <v>0</v>
      </c>
      <c r="Q65" s="223">
        <f>ROUND(IF(Предпосылки!$F$277=справочник!$A$16,Предпосылки!L277*Q27,Предпосылки!L277),2)*-1</f>
        <v>0</v>
      </c>
      <c r="R65" s="223">
        <f>ROUND(IF(Предпосылки!$F$277=справочник!$A$16,Предпосылки!M277*R27,Предпосылки!M277),2)*-1</f>
        <v>0</v>
      </c>
      <c r="S65" s="223">
        <f>ROUND(IF(Предпосылки!$F$277=справочник!$A$16,Предпосылки!N277*S27,Предпосылки!N277),2)*-1</f>
        <v>0</v>
      </c>
      <c r="T65" s="223">
        <f>ROUND(IF(Предпосылки!$F$277=справочник!$A$16,Предпосылки!O277*T27,Предпосылки!O277),2)*-1</f>
        <v>0</v>
      </c>
      <c r="U65" s="223">
        <f>ROUND(IF(Предпосылки!$F$277=справочник!$A$16,Предпосылки!P277*U27,Предпосылки!P277),2)*-1</f>
        <v>0</v>
      </c>
      <c r="V65" s="223">
        <f>ROUND(IF(Предпосылки!$F$277=справочник!$A$16,Предпосылки!Q277*V27,Предпосылки!Q277),2)*-1</f>
        <v>0</v>
      </c>
      <c r="W65" s="223">
        <f>ROUND(IF(Предпосылки!$F$277=справочник!$A$16,Предпосылки!R277*W27,Предпосылки!R277),2)*-1</f>
        <v>0</v>
      </c>
      <c r="X65" s="223">
        <f>ROUND(IF(Предпосылки!$F$277=справочник!$A$16,Предпосылки!S277*X27,Предпосылки!S277),2)*-1</f>
        <v>0</v>
      </c>
      <c r="Y65" s="223">
        <f>ROUND(IF(Предпосылки!$F$277=справочник!$A$16,Предпосылки!T277*Y27,Предпосылки!T277),2)*-1</f>
        <v>0</v>
      </c>
      <c r="Z65" s="223">
        <f>ROUND(IF(Предпосылки!$F$277=справочник!$A$16,Предпосылки!U277*Z27,Предпосылки!U277),2)*-1</f>
        <v>0</v>
      </c>
      <c r="AA65" s="223">
        <f>ROUND(IF(Предпосылки!$F$277=справочник!$A$16,Предпосылки!V277*AA27,Предпосылки!V277),2)*-1</f>
        <v>0</v>
      </c>
      <c r="AB65" s="223">
        <f>ROUND(IF(Предпосылки!$F$277=справочник!$A$16,Предпосылки!W277*AB27,Предпосылки!W277),2)*-1</f>
        <v>0</v>
      </c>
      <c r="AC65" s="223">
        <f>ROUND(IF(Предпосылки!$F$277=справочник!$A$16,Предпосылки!X277*AC27,Предпосылки!X277),2)*-1</f>
        <v>0</v>
      </c>
      <c r="AD65" s="223">
        <f>ROUND(IF(Предпосылки!$F$277=справочник!$A$16,Предпосылки!Y277*AD27,Предпосылки!Y277),2)*-1</f>
        <v>0</v>
      </c>
      <c r="AE65" s="223">
        <f>ROUND(IF(Предпосылки!$F$277=справочник!$A$16,Предпосылки!Z277*AE27,Предпосылки!Z277),2)*-1</f>
        <v>0</v>
      </c>
      <c r="AF65" s="223">
        <f>ROUND(IF(Предпосылки!$F$277=справочник!$A$16,Предпосылки!AA277*AF27,Предпосылки!AA277),2)*-1</f>
        <v>0</v>
      </c>
      <c r="AG65" s="223">
        <f>ROUND(IF(Предпосылки!$F$277=справочник!$A$16,Предпосылки!AB277*AG27,Предпосылки!AB277),2)*-1</f>
        <v>0</v>
      </c>
      <c r="AH65" s="223">
        <f>ROUND(IF(Предпосылки!$F$277=справочник!$A$16,Предпосылки!AC277*AH27,Предпосылки!AC277),2)*-1</f>
        <v>0</v>
      </c>
      <c r="AI65" s="223">
        <f>ROUND(IF(Предпосылки!$F$277=справочник!$A$16,Предпосылки!AD277*AI27,Предпосылки!AD277),2)*-1</f>
        <v>0</v>
      </c>
      <c r="AJ65" s="223">
        <f>ROUND(IF(Предпосылки!$F$277=справочник!$A$16,Предпосылки!AE277*AJ27,Предпосылки!AE277),2)*-1</f>
        <v>0</v>
      </c>
      <c r="AK65" s="223">
        <f>ROUND(IF(Предпосылки!$F$277=справочник!$A$16,Предпосылки!AF277*AK27,Предпосылки!AF277),2)*-1</f>
        <v>0</v>
      </c>
      <c r="AL65" s="223">
        <f>ROUND(IF(Предпосылки!$F$277=справочник!$A$16,Предпосылки!AG277*AL27,Предпосылки!AG277),2)*-1</f>
        <v>0</v>
      </c>
      <c r="AM65" s="223">
        <f>ROUND(IF(Предпосылки!$F$277=справочник!$A$16,Предпосылки!AH277*AM27,Предпосылки!AH277),2)*-1</f>
        <v>0</v>
      </c>
      <c r="AN65" s="223">
        <f>ROUND(IF(Предпосылки!$F$277=справочник!$A$16,Предпосылки!AI277*AN27,Предпосылки!AI277),2)*-1</f>
        <v>0</v>
      </c>
      <c r="AO65" s="223">
        <f>ROUND(IF(Предпосылки!$F$277=справочник!$A$16,Предпосылки!AJ277*AO27,Предпосылки!AJ277),2)*-1</f>
        <v>0</v>
      </c>
      <c r="AP65" s="60"/>
      <c r="AQ65" s="60"/>
      <c r="AR65" s="60"/>
      <c r="AS65" s="60"/>
      <c r="AT65" s="60"/>
    </row>
    <row r="66" spans="8:46" ht="20.25" customHeight="1" outlineLevel="1">
      <c r="H66" s="203">
        <f>Предпосылки!B278</f>
        <v>0</v>
      </c>
      <c r="I66" s="204"/>
      <c r="J66" s="205">
        <f t="shared" si="100"/>
        <v>0</v>
      </c>
      <c r="K66" s="205">
        <f t="shared" si="101"/>
        <v>0</v>
      </c>
      <c r="L66" s="223">
        <f>ROUND(IF(Предпосылки!$F$278=справочник!$A$16,Предпосылки!G278*L27,Предпосылки!G278),2)*-1</f>
        <v>0</v>
      </c>
      <c r="M66" s="223">
        <f>ROUND(IF(Предпосылки!$F$278=справочник!$A$16,Предпосылки!H278*M27,Предпосылки!H278),2)*-1</f>
        <v>0</v>
      </c>
      <c r="N66" s="223">
        <f>ROUND(IF(Предпосылки!$F$278=справочник!$A$16,Предпосылки!I278*N27,Предпосылки!I278),2)*-1</f>
        <v>0</v>
      </c>
      <c r="O66" s="223">
        <f>ROUND(IF(Предпосылки!$F$278=справочник!$A$16,Предпосылки!J278*O27,Предпосылки!J278),2)*-1</f>
        <v>0</v>
      </c>
      <c r="P66" s="223">
        <f>ROUND(IF(Предпосылки!$F$278=справочник!$A$16,Предпосылки!K278*P27,Предпосылки!K278),2)*-1</f>
        <v>0</v>
      </c>
      <c r="Q66" s="223">
        <f>ROUND(IF(Предпосылки!$F$278=справочник!$A$16,Предпосылки!L278*Q27,Предпосылки!L278),2)*-1</f>
        <v>0</v>
      </c>
      <c r="R66" s="223">
        <f>ROUND(IF(Предпосылки!$F$278=справочник!$A$16,Предпосылки!M278*R27,Предпосылки!M278),2)*-1</f>
        <v>0</v>
      </c>
      <c r="S66" s="223">
        <f>ROUND(IF(Предпосылки!$F$278=справочник!$A$16,Предпосылки!N278*S27,Предпосылки!N278),2)*-1</f>
        <v>0</v>
      </c>
      <c r="T66" s="223">
        <f>ROUND(IF(Предпосылки!$F$278=справочник!$A$16,Предпосылки!O278*T27,Предпосылки!O278),2)*-1</f>
        <v>0</v>
      </c>
      <c r="U66" s="223">
        <f>ROUND(IF(Предпосылки!$F$278=справочник!$A$16,Предпосылки!P278*U27,Предпосылки!P278),2)*-1</f>
        <v>0</v>
      </c>
      <c r="V66" s="223">
        <f>ROUND(IF(Предпосылки!$F$278=справочник!$A$16,Предпосылки!Q278*V27,Предпосылки!Q278),2)*-1</f>
        <v>0</v>
      </c>
      <c r="W66" s="223">
        <f>ROUND(IF(Предпосылки!$F$278=справочник!$A$16,Предпосылки!R278*W27,Предпосылки!R278),2)*-1</f>
        <v>0</v>
      </c>
      <c r="X66" s="223">
        <f>ROUND(IF(Предпосылки!$F$278=справочник!$A$16,Предпосылки!S278*X27,Предпосылки!S278),2)*-1</f>
        <v>0</v>
      </c>
      <c r="Y66" s="223">
        <f>ROUND(IF(Предпосылки!$F$278=справочник!$A$16,Предпосылки!T278*Y27,Предпосылки!T278),2)*-1</f>
        <v>0</v>
      </c>
      <c r="Z66" s="223">
        <f>ROUND(IF(Предпосылки!$F$278=справочник!$A$16,Предпосылки!U278*Z27,Предпосылки!U278),2)*-1</f>
        <v>0</v>
      </c>
      <c r="AA66" s="223">
        <f>ROUND(IF(Предпосылки!$F$278=справочник!$A$16,Предпосылки!V278*AA27,Предпосылки!V278),2)*-1</f>
        <v>0</v>
      </c>
      <c r="AB66" s="223">
        <f>ROUND(IF(Предпосылки!$F$278=справочник!$A$16,Предпосылки!W278*AB27,Предпосылки!W278),2)*-1</f>
        <v>0</v>
      </c>
      <c r="AC66" s="223">
        <f>ROUND(IF(Предпосылки!$F$278=справочник!$A$16,Предпосылки!X278*AC27,Предпосылки!X278),2)*-1</f>
        <v>0</v>
      </c>
      <c r="AD66" s="223">
        <f>ROUND(IF(Предпосылки!$F$278=справочник!$A$16,Предпосылки!Y278*AD27,Предпосылки!Y278),2)*-1</f>
        <v>0</v>
      </c>
      <c r="AE66" s="223">
        <f>ROUND(IF(Предпосылки!$F$278=справочник!$A$16,Предпосылки!Z278*AE27,Предпосылки!Z278),2)*-1</f>
        <v>0</v>
      </c>
      <c r="AF66" s="223">
        <f>ROUND(IF(Предпосылки!$F$278=справочник!$A$16,Предпосылки!AA278*AF27,Предпосылки!AA278),2)*-1</f>
        <v>0</v>
      </c>
      <c r="AG66" s="223">
        <f>ROUND(IF(Предпосылки!$F$278=справочник!$A$16,Предпосылки!AB278*AG27,Предпосылки!AB278),2)*-1</f>
        <v>0</v>
      </c>
      <c r="AH66" s="223">
        <f>ROUND(IF(Предпосылки!$F$278=справочник!$A$16,Предпосылки!AC278*AH27,Предпосылки!AC278),2)*-1</f>
        <v>0</v>
      </c>
      <c r="AI66" s="223">
        <f>ROUND(IF(Предпосылки!$F$278=справочник!$A$16,Предпосылки!AD278*AI27,Предпосылки!AD278),2)*-1</f>
        <v>0</v>
      </c>
      <c r="AJ66" s="223">
        <f>ROUND(IF(Предпосылки!$F$278=справочник!$A$16,Предпосылки!AE278*AJ27,Предпосылки!AE278),2)*-1</f>
        <v>0</v>
      </c>
      <c r="AK66" s="223">
        <f>ROUND(IF(Предпосылки!$F$278=справочник!$A$16,Предпосылки!AF278*AK27,Предпосылки!AF278),2)*-1</f>
        <v>0</v>
      </c>
      <c r="AL66" s="223">
        <f>ROUND(IF(Предпосылки!$F$278=справочник!$A$16,Предпосылки!AG278*AL27,Предпосылки!AG278),2)*-1</f>
        <v>0</v>
      </c>
      <c r="AM66" s="223">
        <f>ROUND(IF(Предпосылки!$F$278=справочник!$A$16,Предпосылки!AH278*AM27,Предпосылки!AH278),2)*-1</f>
        <v>0</v>
      </c>
      <c r="AN66" s="223">
        <f>ROUND(IF(Предпосылки!$F$278=справочник!$A$16,Предпосылки!AI278*AN27,Предпосылки!AI278),2)*-1</f>
        <v>0</v>
      </c>
      <c r="AO66" s="223">
        <f>ROUND(IF(Предпосылки!$F$278=справочник!$A$16,Предпосылки!AJ278*AO27,Предпосылки!AJ278),2)*-1</f>
        <v>0</v>
      </c>
      <c r="AP66" s="60"/>
      <c r="AQ66" s="60"/>
      <c r="AR66" s="60"/>
      <c r="AS66" s="60"/>
      <c r="AT66" s="60"/>
    </row>
    <row r="67" spans="8:46" ht="20.25" customHeight="1" outlineLevel="1">
      <c r="H67" s="203">
        <f>Предпосылки!B279</f>
        <v>0</v>
      </c>
      <c r="I67" s="204"/>
      <c r="J67" s="205">
        <f t="shared" si="100"/>
        <v>0</v>
      </c>
      <c r="K67" s="205">
        <f t="shared" si="101"/>
        <v>0</v>
      </c>
      <c r="L67" s="223">
        <f>ROUND(IF(Предпосылки!$F$279=справочник!$A$16,Предпосылки!G279*L27,Предпосылки!G279),2)*-1</f>
        <v>0</v>
      </c>
      <c r="M67" s="223">
        <f>ROUND(IF(Предпосылки!$F$279=справочник!$A$16,Предпосылки!H279*M27,Предпосылки!H279),2)*-1</f>
        <v>0</v>
      </c>
      <c r="N67" s="223">
        <f>ROUND(IF(Предпосылки!$F$279=справочник!$A$16,Предпосылки!I279*N27,Предпосылки!I279),2)*-1</f>
        <v>0</v>
      </c>
      <c r="O67" s="223">
        <f>ROUND(IF(Предпосылки!$F$279=справочник!$A$16,Предпосылки!J279*O27,Предпосылки!J279),2)*-1</f>
        <v>0</v>
      </c>
      <c r="P67" s="223">
        <f>ROUND(IF(Предпосылки!$F$279=справочник!$A$16,Предпосылки!K279*P27,Предпосылки!K279),2)*-1</f>
        <v>0</v>
      </c>
      <c r="Q67" s="223">
        <f>ROUND(IF(Предпосылки!$F$279=справочник!$A$16,Предпосылки!L279*Q27,Предпосылки!L279),2)*-1</f>
        <v>0</v>
      </c>
      <c r="R67" s="223">
        <f>ROUND(IF(Предпосылки!$F$279=справочник!$A$16,Предпосылки!M279*R27,Предпосылки!M279),2)*-1</f>
        <v>0</v>
      </c>
      <c r="S67" s="223">
        <f>ROUND(IF(Предпосылки!$F$279=справочник!$A$16,Предпосылки!N279*S27,Предпосылки!N279),2)*-1</f>
        <v>0</v>
      </c>
      <c r="T67" s="223">
        <f>ROUND(IF(Предпосылки!$F$279=справочник!$A$16,Предпосылки!O279*T27,Предпосылки!O279),2)*-1</f>
        <v>0</v>
      </c>
      <c r="U67" s="223">
        <f>ROUND(IF(Предпосылки!$F$279=справочник!$A$16,Предпосылки!P279*U27,Предпосылки!P279),2)*-1</f>
        <v>0</v>
      </c>
      <c r="V67" s="223">
        <f>ROUND(IF(Предпосылки!$F$279=справочник!$A$16,Предпосылки!Q279*V27,Предпосылки!Q279),2)*-1</f>
        <v>0</v>
      </c>
      <c r="W67" s="223">
        <f>ROUND(IF(Предпосылки!$F$279=справочник!$A$16,Предпосылки!R279*W27,Предпосылки!R279),2)*-1</f>
        <v>0</v>
      </c>
      <c r="X67" s="223">
        <f>ROUND(IF(Предпосылки!$F$279=справочник!$A$16,Предпосылки!S279*X27,Предпосылки!S279),2)*-1</f>
        <v>0</v>
      </c>
      <c r="Y67" s="223">
        <f>ROUND(IF(Предпосылки!$F$279=справочник!$A$16,Предпосылки!T279*Y27,Предпосылки!T279),2)*-1</f>
        <v>0</v>
      </c>
      <c r="Z67" s="223">
        <f>ROUND(IF(Предпосылки!$F$279=справочник!$A$16,Предпосылки!U279*Z27,Предпосылки!U279),2)*-1</f>
        <v>0</v>
      </c>
      <c r="AA67" s="223">
        <f>ROUND(IF(Предпосылки!$F$279=справочник!$A$16,Предпосылки!V279*AA27,Предпосылки!V279),2)*-1</f>
        <v>0</v>
      </c>
      <c r="AB67" s="223">
        <f>ROUND(IF(Предпосылки!$F$279=справочник!$A$16,Предпосылки!W279*AB27,Предпосылки!W279),2)*-1</f>
        <v>0</v>
      </c>
      <c r="AC67" s="223">
        <f>ROUND(IF(Предпосылки!$F$279=справочник!$A$16,Предпосылки!X279*AC27,Предпосылки!X279),2)*-1</f>
        <v>0</v>
      </c>
      <c r="AD67" s="223">
        <f>ROUND(IF(Предпосылки!$F$279=справочник!$A$16,Предпосылки!Y279*AD27,Предпосылки!Y279),2)*-1</f>
        <v>0</v>
      </c>
      <c r="AE67" s="223">
        <f>ROUND(IF(Предпосылки!$F$279=справочник!$A$16,Предпосылки!Z279*AE27,Предпосылки!Z279),2)*-1</f>
        <v>0</v>
      </c>
      <c r="AF67" s="223">
        <f>ROUND(IF(Предпосылки!$F$279=справочник!$A$16,Предпосылки!AA279*AF27,Предпосылки!AA279),2)*-1</f>
        <v>0</v>
      </c>
      <c r="AG67" s="223">
        <f>ROUND(IF(Предпосылки!$F$279=справочник!$A$16,Предпосылки!AB279*AG27,Предпосылки!AB279),2)*-1</f>
        <v>0</v>
      </c>
      <c r="AH67" s="223">
        <f>ROUND(IF(Предпосылки!$F$279=справочник!$A$16,Предпосылки!AC279*AH27,Предпосылки!AC279),2)*-1</f>
        <v>0</v>
      </c>
      <c r="AI67" s="223">
        <f>ROUND(IF(Предпосылки!$F$279=справочник!$A$16,Предпосылки!AD279*AI27,Предпосылки!AD279),2)*-1</f>
        <v>0</v>
      </c>
      <c r="AJ67" s="223">
        <f>ROUND(IF(Предпосылки!$F$279=справочник!$A$16,Предпосылки!AE279*AJ27,Предпосылки!AE279),2)*-1</f>
        <v>0</v>
      </c>
      <c r="AK67" s="223">
        <f>ROUND(IF(Предпосылки!$F$279=справочник!$A$16,Предпосылки!AF279*AK27,Предпосылки!AF279),2)*-1</f>
        <v>0</v>
      </c>
      <c r="AL67" s="223">
        <f>ROUND(IF(Предпосылки!$F$279=справочник!$A$16,Предпосылки!AG279*AL27,Предпосылки!AG279),2)*-1</f>
        <v>0</v>
      </c>
      <c r="AM67" s="223">
        <f>ROUND(IF(Предпосылки!$F$279=справочник!$A$16,Предпосылки!AH279*AM27,Предпосылки!AH279),2)*-1</f>
        <v>0</v>
      </c>
      <c r="AN67" s="223">
        <f>ROUND(IF(Предпосылки!$F$279=справочник!$A$16,Предпосылки!AI279*AN27,Предпосылки!AI279),2)*-1</f>
        <v>0</v>
      </c>
      <c r="AO67" s="223">
        <f>ROUND(IF(Предпосылки!$F$279=справочник!$A$16,Предпосылки!AJ279*AO27,Предпосылки!AJ279),2)*-1</f>
        <v>0</v>
      </c>
      <c r="AP67" s="60"/>
      <c r="AQ67" s="60"/>
      <c r="AR67" s="60"/>
      <c r="AS67" s="60"/>
      <c r="AT67" s="60"/>
    </row>
    <row r="68" spans="8:46" ht="20.25" customHeight="1" outlineLevel="1">
      <c r="H68" s="203">
        <f>Предпосылки!B280</f>
        <v>0</v>
      </c>
      <c r="I68" s="204"/>
      <c r="J68" s="205">
        <f t="shared" si="100"/>
        <v>0</v>
      </c>
      <c r="K68" s="205">
        <f t="shared" si="101"/>
        <v>0</v>
      </c>
      <c r="L68" s="223">
        <f>ROUND(IF(Предпосылки!$F$280=справочник!$A$16,Предпосылки!G280*L27,Предпосылки!G280),2)*-1</f>
        <v>0</v>
      </c>
      <c r="M68" s="223">
        <f>ROUND(IF(Предпосылки!$F$280=справочник!$A$16,Предпосылки!H280*M27,Предпосылки!H280),2)*-1</f>
        <v>0</v>
      </c>
      <c r="N68" s="223">
        <f>ROUND(IF(Предпосылки!$F$280=справочник!$A$16,Предпосылки!I280*N27,Предпосылки!I280),2)*-1</f>
        <v>0</v>
      </c>
      <c r="O68" s="223">
        <f>ROUND(IF(Предпосылки!$F$280=справочник!$A$16,Предпосылки!J280*O27,Предпосылки!J280),2)*-1</f>
        <v>0</v>
      </c>
      <c r="P68" s="223">
        <f>ROUND(IF(Предпосылки!$F$280=справочник!$A$16,Предпосылки!K280*P27,Предпосылки!K280),2)*-1</f>
        <v>0</v>
      </c>
      <c r="Q68" s="223">
        <f>ROUND(IF(Предпосылки!$F$280=справочник!$A$16,Предпосылки!L280*Q27,Предпосылки!L280),2)*-1</f>
        <v>0</v>
      </c>
      <c r="R68" s="223">
        <f>ROUND(IF(Предпосылки!$F$280=справочник!$A$16,Предпосылки!M280*R27,Предпосылки!M280),2)*-1</f>
        <v>0</v>
      </c>
      <c r="S68" s="223">
        <f>ROUND(IF(Предпосылки!$F$280=справочник!$A$16,Предпосылки!N280*S27,Предпосылки!N280),2)*-1</f>
        <v>0</v>
      </c>
      <c r="T68" s="223">
        <f>ROUND(IF(Предпосылки!$F$280=справочник!$A$16,Предпосылки!O280*T27,Предпосылки!O280),2)*-1</f>
        <v>0</v>
      </c>
      <c r="U68" s="223">
        <f>ROUND(IF(Предпосылки!$F$280=справочник!$A$16,Предпосылки!P280*U27,Предпосылки!P280),2)*-1</f>
        <v>0</v>
      </c>
      <c r="V68" s="223">
        <f>ROUND(IF(Предпосылки!$F$280=справочник!$A$16,Предпосылки!Q280*V27,Предпосылки!Q280),2)*-1</f>
        <v>0</v>
      </c>
      <c r="W68" s="223">
        <f>ROUND(IF(Предпосылки!$F$280=справочник!$A$16,Предпосылки!R280*W27,Предпосылки!R280),2)*-1</f>
        <v>0</v>
      </c>
      <c r="X68" s="223">
        <f>ROUND(IF(Предпосылки!$F$280=справочник!$A$16,Предпосылки!S280*X27,Предпосылки!S280),2)*-1</f>
        <v>0</v>
      </c>
      <c r="Y68" s="223">
        <f>ROUND(IF(Предпосылки!$F$280=справочник!$A$16,Предпосылки!T280*Y27,Предпосылки!T280),2)*-1</f>
        <v>0</v>
      </c>
      <c r="Z68" s="223">
        <f>ROUND(IF(Предпосылки!$F$280=справочник!$A$16,Предпосылки!U280*Z27,Предпосылки!U280),2)*-1</f>
        <v>0</v>
      </c>
      <c r="AA68" s="223">
        <f>ROUND(IF(Предпосылки!$F$280=справочник!$A$16,Предпосылки!V280*AA27,Предпосылки!V280),2)*-1</f>
        <v>0</v>
      </c>
      <c r="AB68" s="223">
        <f>ROUND(IF(Предпосылки!$F$280=справочник!$A$16,Предпосылки!W280*AB27,Предпосылки!W280),2)*-1</f>
        <v>0</v>
      </c>
      <c r="AC68" s="223">
        <f>ROUND(IF(Предпосылки!$F$280=справочник!$A$16,Предпосылки!X280*AC27,Предпосылки!X280),2)*-1</f>
        <v>0</v>
      </c>
      <c r="AD68" s="223">
        <f>ROUND(IF(Предпосылки!$F$280=справочник!$A$16,Предпосылки!Y280*AD27,Предпосылки!Y280),2)*-1</f>
        <v>0</v>
      </c>
      <c r="AE68" s="223">
        <f>ROUND(IF(Предпосылки!$F$280=справочник!$A$16,Предпосылки!Z280*AE27,Предпосылки!Z280),2)*-1</f>
        <v>0</v>
      </c>
      <c r="AF68" s="223">
        <f>ROUND(IF(Предпосылки!$F$280=справочник!$A$16,Предпосылки!AA280*AF27,Предпосылки!AA280),2)*-1</f>
        <v>0</v>
      </c>
      <c r="AG68" s="223">
        <f>ROUND(IF(Предпосылки!$F$280=справочник!$A$16,Предпосылки!AB280*AG27,Предпосылки!AB280),2)*-1</f>
        <v>0</v>
      </c>
      <c r="AH68" s="223">
        <f>ROUND(IF(Предпосылки!$F$280=справочник!$A$16,Предпосылки!AC280*AH27,Предпосылки!AC280),2)*-1</f>
        <v>0</v>
      </c>
      <c r="AI68" s="223">
        <f>ROUND(IF(Предпосылки!$F$280=справочник!$A$16,Предпосылки!AD280*AI27,Предпосылки!AD280),2)*-1</f>
        <v>0</v>
      </c>
      <c r="AJ68" s="223">
        <f>ROUND(IF(Предпосылки!$F$280=справочник!$A$16,Предпосылки!AE280*AJ27,Предпосылки!AE280),2)*-1</f>
        <v>0</v>
      </c>
      <c r="AK68" s="223">
        <f>ROUND(IF(Предпосылки!$F$280=справочник!$A$16,Предпосылки!AF280*AK27,Предпосылки!AF280),2)*-1</f>
        <v>0</v>
      </c>
      <c r="AL68" s="223">
        <f>ROUND(IF(Предпосылки!$F$280=справочник!$A$16,Предпосылки!AG280*AL27,Предпосылки!AG280),2)*-1</f>
        <v>0</v>
      </c>
      <c r="AM68" s="223">
        <f>ROUND(IF(Предпосылки!$F$280=справочник!$A$16,Предпосылки!AH280*AM27,Предпосылки!AH280),2)*-1</f>
        <v>0</v>
      </c>
      <c r="AN68" s="223">
        <f>ROUND(IF(Предпосылки!$F$280=справочник!$A$16,Предпосылки!AI280*AN27,Предпосылки!AI280),2)*-1</f>
        <v>0</v>
      </c>
      <c r="AO68" s="223">
        <f>ROUND(IF(Предпосылки!$F$280=справочник!$A$16,Предпосылки!AJ280*AO27,Предпосылки!AJ280),2)*-1</f>
        <v>0</v>
      </c>
      <c r="AP68" s="60"/>
      <c r="AQ68" s="60"/>
      <c r="AR68" s="60"/>
      <c r="AS68" s="60"/>
      <c r="AT68" s="60"/>
    </row>
    <row r="69" spans="8:46" ht="20.25" customHeight="1" outlineLevel="1">
      <c r="H69" s="203">
        <f>Предпосылки!B281</f>
        <v>0</v>
      </c>
      <c r="I69" s="204"/>
      <c r="J69" s="205">
        <f t="shared" si="100"/>
        <v>0</v>
      </c>
      <c r="K69" s="205">
        <f t="shared" si="101"/>
        <v>0</v>
      </c>
      <c r="L69" s="223">
        <f>ROUND(IF(Предпосылки!$F$281=справочник!$A$16,Предпосылки!G281*L27,Предпосылки!G281),2)*-1</f>
        <v>0</v>
      </c>
      <c r="M69" s="223">
        <f>ROUND(IF(Предпосылки!$F$281=справочник!$A$16,Предпосылки!H281*M27,Предпосылки!H281),2)*-1</f>
        <v>0</v>
      </c>
      <c r="N69" s="223">
        <f>ROUND(IF(Предпосылки!$F$281=справочник!$A$16,Предпосылки!I281*N27,Предпосылки!I281),2)*-1</f>
        <v>0</v>
      </c>
      <c r="O69" s="223">
        <f>ROUND(IF(Предпосылки!$F$281=справочник!$A$16,Предпосылки!J281*O27,Предпосылки!J281),2)*-1</f>
        <v>0</v>
      </c>
      <c r="P69" s="223">
        <f>ROUND(IF(Предпосылки!$F$281=справочник!$A$16,Предпосылки!K281*P27,Предпосылки!K281),2)*-1</f>
        <v>0</v>
      </c>
      <c r="Q69" s="223">
        <f>ROUND(IF(Предпосылки!$F$281=справочник!$A$16,Предпосылки!L281*Q27,Предпосылки!L281),2)*-1</f>
        <v>0</v>
      </c>
      <c r="R69" s="223">
        <f>ROUND(IF(Предпосылки!$F$281=справочник!$A$16,Предпосылки!M281*R27,Предпосылки!M281),2)*-1</f>
        <v>0</v>
      </c>
      <c r="S69" s="223">
        <f>ROUND(IF(Предпосылки!$F$281=справочник!$A$16,Предпосылки!N281*S27,Предпосылки!N281),2)*-1</f>
        <v>0</v>
      </c>
      <c r="T69" s="223">
        <f>ROUND(IF(Предпосылки!$F$281=справочник!$A$16,Предпосылки!O281*T27,Предпосылки!O281),2)*-1</f>
        <v>0</v>
      </c>
      <c r="U69" s="223">
        <f>ROUND(IF(Предпосылки!$F$281=справочник!$A$16,Предпосылки!P281*U27,Предпосылки!P281),2)*-1</f>
        <v>0</v>
      </c>
      <c r="V69" s="223">
        <f>ROUND(IF(Предпосылки!$F$281=справочник!$A$16,Предпосылки!Q281*V27,Предпосылки!Q281),2)*-1</f>
        <v>0</v>
      </c>
      <c r="W69" s="223">
        <f>ROUND(IF(Предпосылки!$F$281=справочник!$A$16,Предпосылки!R281*W27,Предпосылки!R281),2)*-1</f>
        <v>0</v>
      </c>
      <c r="X69" s="223">
        <f>ROUND(IF(Предпосылки!$F$281=справочник!$A$16,Предпосылки!S281*X27,Предпосылки!S281),2)*-1</f>
        <v>0</v>
      </c>
      <c r="Y69" s="223">
        <f>ROUND(IF(Предпосылки!$F$281=справочник!$A$16,Предпосылки!T281*Y27,Предпосылки!T281),2)*-1</f>
        <v>0</v>
      </c>
      <c r="Z69" s="223">
        <f>ROUND(IF(Предпосылки!$F$281=справочник!$A$16,Предпосылки!U281*Z27,Предпосылки!U281),2)*-1</f>
        <v>0</v>
      </c>
      <c r="AA69" s="223">
        <f>ROUND(IF(Предпосылки!$F$281=справочник!$A$16,Предпосылки!V281*AA27,Предпосылки!V281),2)*-1</f>
        <v>0</v>
      </c>
      <c r="AB69" s="223">
        <f>ROUND(IF(Предпосылки!$F$281=справочник!$A$16,Предпосылки!W281*AB27,Предпосылки!W281),2)*-1</f>
        <v>0</v>
      </c>
      <c r="AC69" s="223">
        <f>ROUND(IF(Предпосылки!$F$281=справочник!$A$16,Предпосылки!X281*AC27,Предпосылки!X281),2)*-1</f>
        <v>0</v>
      </c>
      <c r="AD69" s="223">
        <f>ROUND(IF(Предпосылки!$F$281=справочник!$A$16,Предпосылки!Y281*AD27,Предпосылки!Y281),2)*-1</f>
        <v>0</v>
      </c>
      <c r="AE69" s="223">
        <f>ROUND(IF(Предпосылки!$F$281=справочник!$A$16,Предпосылки!Z281*AE27,Предпосылки!Z281),2)*-1</f>
        <v>0</v>
      </c>
      <c r="AF69" s="223">
        <f>ROUND(IF(Предпосылки!$F$281=справочник!$A$16,Предпосылки!AA281*AF27,Предпосылки!AA281),2)*-1</f>
        <v>0</v>
      </c>
      <c r="AG69" s="223">
        <f>ROUND(IF(Предпосылки!$F$281=справочник!$A$16,Предпосылки!AB281*AG27,Предпосылки!AB281),2)*-1</f>
        <v>0</v>
      </c>
      <c r="AH69" s="223">
        <f>ROUND(IF(Предпосылки!$F$281=справочник!$A$16,Предпосылки!AC281*AH27,Предпосылки!AC281),2)*-1</f>
        <v>0</v>
      </c>
      <c r="AI69" s="223">
        <f>ROUND(IF(Предпосылки!$F$281=справочник!$A$16,Предпосылки!AD281*AI27,Предпосылки!AD281),2)*-1</f>
        <v>0</v>
      </c>
      <c r="AJ69" s="223">
        <f>ROUND(IF(Предпосылки!$F$281=справочник!$A$16,Предпосылки!AE281*AJ27,Предпосылки!AE281),2)*-1</f>
        <v>0</v>
      </c>
      <c r="AK69" s="223">
        <f>ROUND(IF(Предпосылки!$F$281=справочник!$A$16,Предпосылки!AF281*AK27,Предпосылки!AF281),2)*-1</f>
        <v>0</v>
      </c>
      <c r="AL69" s="223">
        <f>ROUND(IF(Предпосылки!$F$281=справочник!$A$16,Предпосылки!AG281*AL27,Предпосылки!AG281),2)*-1</f>
        <v>0</v>
      </c>
      <c r="AM69" s="223">
        <f>ROUND(IF(Предпосылки!$F$281=справочник!$A$16,Предпосылки!AH281*AM27,Предпосылки!AH281),2)*-1</f>
        <v>0</v>
      </c>
      <c r="AN69" s="223">
        <f>ROUND(IF(Предпосылки!$F$281=справочник!$A$16,Предпосылки!AI281*AN27,Предпосылки!AI281),2)*-1</f>
        <v>0</v>
      </c>
      <c r="AO69" s="223">
        <f>ROUND(IF(Предпосылки!$F$281=справочник!$A$16,Предпосылки!AJ281*AO27,Предпосылки!AJ281),2)*-1</f>
        <v>0</v>
      </c>
      <c r="AP69" s="60"/>
      <c r="AQ69" s="60"/>
      <c r="AR69" s="60"/>
      <c r="AS69" s="60"/>
      <c r="AT69" s="60"/>
    </row>
    <row r="70" spans="8:46" ht="20.25" customHeight="1" outlineLevel="1">
      <c r="H70" s="203">
        <f>Предпосылки!B282</f>
        <v>0</v>
      </c>
      <c r="I70" s="204"/>
      <c r="J70" s="205">
        <f t="shared" si="100"/>
        <v>0</v>
      </c>
      <c r="K70" s="205">
        <f t="shared" si="101"/>
        <v>0</v>
      </c>
      <c r="L70" s="223">
        <f>ROUND(IF(Предпосылки!$F$282=справочник!$A$16,Предпосылки!G282*L27,Предпосылки!G282),2)*-1</f>
        <v>0</v>
      </c>
      <c r="M70" s="223">
        <f>ROUND(IF(Предпосылки!$F$282=справочник!$A$16,Предпосылки!H282*M27,Предпосылки!H282),2)*-1</f>
        <v>0</v>
      </c>
      <c r="N70" s="223">
        <f>ROUND(IF(Предпосылки!$F$282=справочник!$A$16,Предпосылки!I282*N27,Предпосылки!I282),2)*-1</f>
        <v>0</v>
      </c>
      <c r="O70" s="223">
        <f>ROUND(IF(Предпосылки!$F$282=справочник!$A$16,Предпосылки!J282*O27,Предпосылки!J282),2)*-1</f>
        <v>0</v>
      </c>
      <c r="P70" s="223">
        <f>ROUND(IF(Предпосылки!$F$282=справочник!$A$16,Предпосылки!K282*P27,Предпосылки!K282),2)*-1</f>
        <v>0</v>
      </c>
      <c r="Q70" s="223">
        <f>ROUND(IF(Предпосылки!$F$282=справочник!$A$16,Предпосылки!L282*Q27,Предпосылки!L282),2)*-1</f>
        <v>0</v>
      </c>
      <c r="R70" s="223">
        <f>ROUND(IF(Предпосылки!$F$282=справочник!$A$16,Предпосылки!M282*R27,Предпосылки!M282),2)*-1</f>
        <v>0</v>
      </c>
      <c r="S70" s="223">
        <f>ROUND(IF(Предпосылки!$F$282=справочник!$A$16,Предпосылки!N282*S27,Предпосылки!N282),2)*-1</f>
        <v>0</v>
      </c>
      <c r="T70" s="223">
        <f>ROUND(IF(Предпосылки!$F$282=справочник!$A$16,Предпосылки!O282*T27,Предпосылки!O282),2)*-1</f>
        <v>0</v>
      </c>
      <c r="U70" s="223">
        <f>ROUND(IF(Предпосылки!$F$282=справочник!$A$16,Предпосылки!P282*U27,Предпосылки!P282),2)*-1</f>
        <v>0</v>
      </c>
      <c r="V70" s="223">
        <f>ROUND(IF(Предпосылки!$F$282=справочник!$A$16,Предпосылки!Q282*V27,Предпосылки!Q282),2)*-1</f>
        <v>0</v>
      </c>
      <c r="W70" s="223">
        <f>ROUND(IF(Предпосылки!$F$282=справочник!$A$16,Предпосылки!R282*W27,Предпосылки!R282),2)*-1</f>
        <v>0</v>
      </c>
      <c r="X70" s="223">
        <f>ROUND(IF(Предпосылки!$F$282=справочник!$A$16,Предпосылки!S282*X27,Предпосылки!S282),2)*-1</f>
        <v>0</v>
      </c>
      <c r="Y70" s="223">
        <f>ROUND(IF(Предпосылки!$F$282=справочник!$A$16,Предпосылки!T282*Y27,Предпосылки!T282),2)*-1</f>
        <v>0</v>
      </c>
      <c r="Z70" s="223">
        <f>ROUND(IF(Предпосылки!$F$282=справочник!$A$16,Предпосылки!U282*Z27,Предпосылки!U282),2)*-1</f>
        <v>0</v>
      </c>
      <c r="AA70" s="223">
        <f>ROUND(IF(Предпосылки!$F$282=справочник!$A$16,Предпосылки!V282*AA27,Предпосылки!V282),2)*-1</f>
        <v>0</v>
      </c>
      <c r="AB70" s="223">
        <f>ROUND(IF(Предпосылки!$F$282=справочник!$A$16,Предпосылки!W282*AB27,Предпосылки!W282),2)*-1</f>
        <v>0</v>
      </c>
      <c r="AC70" s="223">
        <f>ROUND(IF(Предпосылки!$F$282=справочник!$A$16,Предпосылки!X282*AC27,Предпосылки!X282),2)*-1</f>
        <v>0</v>
      </c>
      <c r="AD70" s="223">
        <f>ROUND(IF(Предпосылки!$F$282=справочник!$A$16,Предпосылки!Y282*AD27,Предпосылки!Y282),2)*-1</f>
        <v>0</v>
      </c>
      <c r="AE70" s="223">
        <f>ROUND(IF(Предпосылки!$F$282=справочник!$A$16,Предпосылки!Z282*AE27,Предпосылки!Z282),2)*-1</f>
        <v>0</v>
      </c>
      <c r="AF70" s="223">
        <f>ROUND(IF(Предпосылки!$F$282=справочник!$A$16,Предпосылки!AA282*AF27,Предпосылки!AA282),2)*-1</f>
        <v>0</v>
      </c>
      <c r="AG70" s="223">
        <f>ROUND(IF(Предпосылки!$F$282=справочник!$A$16,Предпосылки!AB282*AG27,Предпосылки!AB282),2)*-1</f>
        <v>0</v>
      </c>
      <c r="AH70" s="223">
        <f>ROUND(IF(Предпосылки!$F$282=справочник!$A$16,Предпосылки!AC282*AH27,Предпосылки!AC282),2)*-1</f>
        <v>0</v>
      </c>
      <c r="AI70" s="223">
        <f>ROUND(IF(Предпосылки!$F$282=справочник!$A$16,Предпосылки!AD282*AI27,Предпосылки!AD282),2)*-1</f>
        <v>0</v>
      </c>
      <c r="AJ70" s="223">
        <f>ROUND(IF(Предпосылки!$F$282=справочник!$A$16,Предпосылки!AE282*AJ27,Предпосылки!AE282),2)*-1</f>
        <v>0</v>
      </c>
      <c r="AK70" s="223">
        <f>ROUND(IF(Предпосылки!$F$282=справочник!$A$16,Предпосылки!AF282*AK27,Предпосылки!AF282),2)*-1</f>
        <v>0</v>
      </c>
      <c r="AL70" s="223">
        <f>ROUND(IF(Предпосылки!$F$282=справочник!$A$16,Предпосылки!AG282*AL27,Предпосылки!AG282),2)*-1</f>
        <v>0</v>
      </c>
      <c r="AM70" s="223">
        <f>ROUND(IF(Предпосылки!$F$282=справочник!$A$16,Предпосылки!AH282*AM27,Предпосылки!AH282),2)*-1</f>
        <v>0</v>
      </c>
      <c r="AN70" s="223">
        <f>ROUND(IF(Предпосылки!$F$282=справочник!$A$16,Предпосылки!AI282*AN27,Предпосылки!AI282),2)*-1</f>
        <v>0</v>
      </c>
      <c r="AO70" s="223">
        <f>ROUND(IF(Предпосылки!$F$282=справочник!$A$16,Предпосылки!AJ282*AO27,Предпосылки!AJ282),2)*-1</f>
        <v>0</v>
      </c>
      <c r="AP70" s="60"/>
      <c r="AQ70" s="60"/>
      <c r="AR70" s="60"/>
      <c r="AS70" s="60"/>
      <c r="AT70" s="60"/>
    </row>
    <row r="71" spans="8:46" ht="20.25" customHeight="1" outlineLevel="1">
      <c r="H71" s="203">
        <f>Предпосылки!B283</f>
        <v>0</v>
      </c>
      <c r="I71" s="204"/>
      <c r="J71" s="205">
        <f t="shared" si="100"/>
        <v>0</v>
      </c>
      <c r="K71" s="205">
        <f t="shared" si="101"/>
        <v>0</v>
      </c>
      <c r="L71" s="223">
        <f>ROUND(IF(Предпосылки!$F$283=справочник!$A$16,Предпосылки!G283*L27,Предпосылки!G283),2)*-1</f>
        <v>0</v>
      </c>
      <c r="M71" s="223">
        <f>ROUND(IF(Предпосылки!$F$283=справочник!$A$16,Предпосылки!H283*M27,Предпосылки!H283),2)*-1</f>
        <v>0</v>
      </c>
      <c r="N71" s="223">
        <f>ROUND(IF(Предпосылки!$F$283=справочник!$A$16,Предпосылки!I283*N27,Предпосылки!I283),2)*-1</f>
        <v>0</v>
      </c>
      <c r="O71" s="223">
        <f>ROUND(IF(Предпосылки!$F$283=справочник!$A$16,Предпосылки!J283*O27,Предпосылки!J283),2)*-1</f>
        <v>0</v>
      </c>
      <c r="P71" s="223">
        <f>ROUND(IF(Предпосылки!$F$283=справочник!$A$16,Предпосылки!K283*P27,Предпосылки!K283),2)*-1</f>
        <v>0</v>
      </c>
      <c r="Q71" s="223">
        <f>ROUND(IF(Предпосылки!$F$283=справочник!$A$16,Предпосылки!L283*Q27,Предпосылки!L283),2)*-1</f>
        <v>0</v>
      </c>
      <c r="R71" s="223">
        <f>ROUND(IF(Предпосылки!$F$283=справочник!$A$16,Предпосылки!M283*R27,Предпосылки!M283),2)*-1</f>
        <v>0</v>
      </c>
      <c r="S71" s="223">
        <f>ROUND(IF(Предпосылки!$F$283=справочник!$A$16,Предпосылки!N283*S27,Предпосылки!N283),2)*-1</f>
        <v>0</v>
      </c>
      <c r="T71" s="223">
        <f>ROUND(IF(Предпосылки!$F$283=справочник!$A$16,Предпосылки!O283*T27,Предпосылки!O283),2)*-1</f>
        <v>0</v>
      </c>
      <c r="U71" s="223">
        <f>ROUND(IF(Предпосылки!$F$283=справочник!$A$16,Предпосылки!P283*U27,Предпосылки!P283),2)*-1</f>
        <v>0</v>
      </c>
      <c r="V71" s="223">
        <f>ROUND(IF(Предпосылки!$F$283=справочник!$A$16,Предпосылки!Q283*V27,Предпосылки!Q283),2)*-1</f>
        <v>0</v>
      </c>
      <c r="W71" s="223">
        <f>ROUND(IF(Предпосылки!$F$283=справочник!$A$16,Предпосылки!R283*W27,Предпосылки!R283),2)*-1</f>
        <v>0</v>
      </c>
      <c r="X71" s="223">
        <f>ROUND(IF(Предпосылки!$F$283=справочник!$A$16,Предпосылки!S283*X27,Предпосылки!S283),2)*-1</f>
        <v>0</v>
      </c>
      <c r="Y71" s="223">
        <f>ROUND(IF(Предпосылки!$F$283=справочник!$A$16,Предпосылки!T283*Y27,Предпосылки!T283),2)*-1</f>
        <v>0</v>
      </c>
      <c r="Z71" s="223">
        <f>ROUND(IF(Предпосылки!$F$283=справочник!$A$16,Предпосылки!U283*Z27,Предпосылки!U283),2)*-1</f>
        <v>0</v>
      </c>
      <c r="AA71" s="223">
        <f>ROUND(IF(Предпосылки!$F$283=справочник!$A$16,Предпосылки!V283*AA27,Предпосылки!V283),2)*-1</f>
        <v>0</v>
      </c>
      <c r="AB71" s="223">
        <f>ROUND(IF(Предпосылки!$F$283=справочник!$A$16,Предпосылки!W283*AB27,Предпосылки!W283),2)*-1</f>
        <v>0</v>
      </c>
      <c r="AC71" s="223">
        <f>ROUND(IF(Предпосылки!$F$283=справочник!$A$16,Предпосылки!X283*AC27,Предпосылки!X283),2)*-1</f>
        <v>0</v>
      </c>
      <c r="AD71" s="223">
        <f>ROUND(IF(Предпосылки!$F$283=справочник!$A$16,Предпосылки!Y283*AD27,Предпосылки!Y283),2)*-1</f>
        <v>0</v>
      </c>
      <c r="AE71" s="223">
        <f>ROUND(IF(Предпосылки!$F$283=справочник!$A$16,Предпосылки!Z283*AE27,Предпосылки!Z283),2)*-1</f>
        <v>0</v>
      </c>
      <c r="AF71" s="223">
        <f>ROUND(IF(Предпосылки!$F$283=справочник!$A$16,Предпосылки!AA283*AF27,Предпосылки!AA283),2)*-1</f>
        <v>0</v>
      </c>
      <c r="AG71" s="223">
        <f>ROUND(IF(Предпосылки!$F$283=справочник!$A$16,Предпосылки!AB283*AG27,Предпосылки!AB283),2)*-1</f>
        <v>0</v>
      </c>
      <c r="AH71" s="223">
        <f>ROUND(IF(Предпосылки!$F$283=справочник!$A$16,Предпосылки!AC283*AH27,Предпосылки!AC283),2)*-1</f>
        <v>0</v>
      </c>
      <c r="AI71" s="223">
        <f>ROUND(IF(Предпосылки!$F$283=справочник!$A$16,Предпосылки!AD283*AI27,Предпосылки!AD283),2)*-1</f>
        <v>0</v>
      </c>
      <c r="AJ71" s="223">
        <f>ROUND(IF(Предпосылки!$F$283=справочник!$A$16,Предпосылки!AE283*AJ27,Предпосылки!AE283),2)*-1</f>
        <v>0</v>
      </c>
      <c r="AK71" s="223">
        <f>ROUND(IF(Предпосылки!$F$283=справочник!$A$16,Предпосылки!AF283*AK27,Предпосылки!AF283),2)*-1</f>
        <v>0</v>
      </c>
      <c r="AL71" s="223">
        <f>ROUND(IF(Предпосылки!$F$283=справочник!$A$16,Предпосылки!AG283*AL27,Предпосылки!AG283),2)*-1</f>
        <v>0</v>
      </c>
      <c r="AM71" s="223">
        <f>ROUND(IF(Предпосылки!$F$283=справочник!$A$16,Предпосылки!AH283*AM27,Предпосылки!AH283),2)*-1</f>
        <v>0</v>
      </c>
      <c r="AN71" s="223">
        <f>ROUND(IF(Предпосылки!$F$283=справочник!$A$16,Предпосылки!AI283*AN27,Предпосылки!AI283),2)*-1</f>
        <v>0</v>
      </c>
      <c r="AO71" s="223">
        <f>ROUND(IF(Предпосылки!$F$283=справочник!$A$16,Предпосылки!AJ283*AO27,Предпосылки!AJ283),2)*-1</f>
        <v>0</v>
      </c>
      <c r="AP71" s="60"/>
      <c r="AQ71" s="60"/>
      <c r="AR71" s="60"/>
      <c r="AS71" s="60"/>
      <c r="AT71" s="60"/>
    </row>
    <row r="72" spans="8:46" ht="20.25" customHeight="1" outlineLevel="1">
      <c r="H72" s="203">
        <f>Предпосылки!B284</f>
        <v>0</v>
      </c>
      <c r="I72" s="204"/>
      <c r="J72" s="205">
        <f t="shared" si="100"/>
        <v>0</v>
      </c>
      <c r="K72" s="205">
        <f t="shared" si="101"/>
        <v>0</v>
      </c>
      <c r="L72" s="223">
        <f>ROUND(IF(Предпосылки!$F$284=справочник!$A$16,Предпосылки!G284*L27,Предпосылки!G284),2)*-1</f>
        <v>0</v>
      </c>
      <c r="M72" s="223">
        <f>ROUND(IF(Предпосылки!$F$284=справочник!$A$16,Предпосылки!H284*M27,Предпосылки!H284),2)*-1</f>
        <v>0</v>
      </c>
      <c r="N72" s="223">
        <f>ROUND(IF(Предпосылки!$F$284=справочник!$A$16,Предпосылки!I284*N27,Предпосылки!I284),2)*-1</f>
        <v>0</v>
      </c>
      <c r="O72" s="223">
        <f>ROUND(IF(Предпосылки!$F$284=справочник!$A$16,Предпосылки!J284*O27,Предпосылки!J284),2)*-1</f>
        <v>0</v>
      </c>
      <c r="P72" s="223">
        <f>ROUND(IF(Предпосылки!$F$284=справочник!$A$16,Предпосылки!K284*P27,Предпосылки!K284),2)*-1</f>
        <v>0</v>
      </c>
      <c r="Q72" s="223">
        <f>ROUND(IF(Предпосылки!$F$284=справочник!$A$16,Предпосылки!L284*Q27,Предпосылки!L284),2)*-1</f>
        <v>0</v>
      </c>
      <c r="R72" s="223">
        <f>ROUND(IF(Предпосылки!$F$284=справочник!$A$16,Предпосылки!M284*R27,Предпосылки!M284),2)*-1</f>
        <v>0</v>
      </c>
      <c r="S72" s="223">
        <f>ROUND(IF(Предпосылки!$F$284=справочник!$A$16,Предпосылки!N284*S27,Предпосылки!N284),2)*-1</f>
        <v>0</v>
      </c>
      <c r="T72" s="223">
        <f>ROUND(IF(Предпосылки!$F$284=справочник!$A$16,Предпосылки!O284*T27,Предпосылки!O284),2)*-1</f>
        <v>0</v>
      </c>
      <c r="U72" s="223">
        <f>ROUND(IF(Предпосылки!$F$284=справочник!$A$16,Предпосылки!P284*U27,Предпосылки!P284),2)*-1</f>
        <v>0</v>
      </c>
      <c r="V72" s="223">
        <f>ROUND(IF(Предпосылки!$F$284=справочник!$A$16,Предпосылки!Q284*V27,Предпосылки!Q284),2)*-1</f>
        <v>0</v>
      </c>
      <c r="W72" s="223">
        <f>ROUND(IF(Предпосылки!$F$284=справочник!$A$16,Предпосылки!R284*W27,Предпосылки!R284),2)*-1</f>
        <v>0</v>
      </c>
      <c r="X72" s="223">
        <f>ROUND(IF(Предпосылки!$F$284=справочник!$A$16,Предпосылки!S284*X27,Предпосылки!S284),2)*-1</f>
        <v>0</v>
      </c>
      <c r="Y72" s="223">
        <f>ROUND(IF(Предпосылки!$F$284=справочник!$A$16,Предпосылки!T284*Y27,Предпосылки!T284),2)*-1</f>
        <v>0</v>
      </c>
      <c r="Z72" s="223">
        <f>ROUND(IF(Предпосылки!$F$284=справочник!$A$16,Предпосылки!U284*Z27,Предпосылки!U284),2)*-1</f>
        <v>0</v>
      </c>
      <c r="AA72" s="223">
        <f>ROUND(IF(Предпосылки!$F$284=справочник!$A$16,Предпосылки!V284*AA27,Предпосылки!V284),2)*-1</f>
        <v>0</v>
      </c>
      <c r="AB72" s="223">
        <f>ROUND(IF(Предпосылки!$F$284=справочник!$A$16,Предпосылки!W284*AB27,Предпосылки!W284),2)*-1</f>
        <v>0</v>
      </c>
      <c r="AC72" s="223">
        <f>ROUND(IF(Предпосылки!$F$284=справочник!$A$16,Предпосылки!X284*AC27,Предпосылки!X284),2)*-1</f>
        <v>0</v>
      </c>
      <c r="AD72" s="223">
        <f>ROUND(IF(Предпосылки!$F$284=справочник!$A$16,Предпосылки!Y284*AD27,Предпосылки!Y284),2)*-1</f>
        <v>0</v>
      </c>
      <c r="AE72" s="223">
        <f>ROUND(IF(Предпосылки!$F$284=справочник!$A$16,Предпосылки!Z284*AE27,Предпосылки!Z284),2)*-1</f>
        <v>0</v>
      </c>
      <c r="AF72" s="223">
        <f>ROUND(IF(Предпосылки!$F$284=справочник!$A$16,Предпосылки!AA284*AF27,Предпосылки!AA284),2)*-1</f>
        <v>0</v>
      </c>
      <c r="AG72" s="223">
        <f>ROUND(IF(Предпосылки!$F$284=справочник!$A$16,Предпосылки!AB284*AG27,Предпосылки!AB284),2)*-1</f>
        <v>0</v>
      </c>
      <c r="AH72" s="223">
        <f>ROUND(IF(Предпосылки!$F$284=справочник!$A$16,Предпосылки!AC284*AH27,Предпосылки!AC284),2)*-1</f>
        <v>0</v>
      </c>
      <c r="AI72" s="223">
        <f>ROUND(IF(Предпосылки!$F$284=справочник!$A$16,Предпосылки!AD284*AI27,Предпосылки!AD284),2)*-1</f>
        <v>0</v>
      </c>
      <c r="AJ72" s="223">
        <f>ROUND(IF(Предпосылки!$F$284=справочник!$A$16,Предпосылки!AE284*AJ27,Предпосылки!AE284),2)*-1</f>
        <v>0</v>
      </c>
      <c r="AK72" s="223">
        <f>ROUND(IF(Предпосылки!$F$284=справочник!$A$16,Предпосылки!AF284*AK27,Предпосылки!AF284),2)*-1</f>
        <v>0</v>
      </c>
      <c r="AL72" s="223">
        <f>ROUND(IF(Предпосылки!$F$284=справочник!$A$16,Предпосылки!AG284*AL27,Предпосылки!AG284),2)*-1</f>
        <v>0</v>
      </c>
      <c r="AM72" s="223">
        <f>ROUND(IF(Предпосылки!$F$284=справочник!$A$16,Предпосылки!AH284*AM27,Предпосылки!AH284),2)*-1</f>
        <v>0</v>
      </c>
      <c r="AN72" s="223">
        <f>ROUND(IF(Предпосылки!$F$284=справочник!$A$16,Предпосылки!AI284*AN27,Предпосылки!AI284),2)*-1</f>
        <v>0</v>
      </c>
      <c r="AO72" s="223">
        <f>ROUND(IF(Предпосылки!$F$284=справочник!$A$16,Предпосылки!AJ284*AO27,Предпосылки!AJ284),2)*-1</f>
        <v>0</v>
      </c>
      <c r="AP72" s="60"/>
      <c r="AQ72" s="60"/>
      <c r="AR72" s="60"/>
      <c r="AS72" s="60"/>
      <c r="AT72" s="60"/>
    </row>
    <row r="73" spans="8:46" ht="20.25" customHeight="1" outlineLevel="1">
      <c r="H73" s="203" t="str">
        <f>Предпосылки!B288</f>
        <v>Корректировка общехозяйственных затра за счет займа, в т.ч. НДС</v>
      </c>
      <c r="I73" s="204"/>
      <c r="J73" s="205"/>
      <c r="K73" s="205"/>
      <c r="L73" s="223">
        <f>-Предпосылки!G288</f>
        <v>0</v>
      </c>
      <c r="M73" s="223">
        <f>-Предпосылки!H288</f>
        <v>0</v>
      </c>
      <c r="N73" s="223">
        <f>-Предпосылки!I288</f>
        <v>0</v>
      </c>
      <c r="O73" s="223">
        <f>-Предпосылки!J288</f>
        <v>0</v>
      </c>
      <c r="P73" s="223">
        <f>-Предпосылки!K288</f>
        <v>0</v>
      </c>
      <c r="Q73" s="223">
        <f>-Предпосылки!L288</f>
        <v>0</v>
      </c>
      <c r="R73" s="223">
        <f>-Предпосылки!M288</f>
        <v>0</v>
      </c>
      <c r="S73" s="223">
        <f>-Предпосылки!N288</f>
        <v>0</v>
      </c>
      <c r="T73" s="223">
        <f>-Предпосылки!O288</f>
        <v>0</v>
      </c>
      <c r="U73" s="223">
        <f>-Предпосылки!P288</f>
        <v>0</v>
      </c>
      <c r="V73" s="223">
        <f>-Предпосылки!Q288</f>
        <v>0</v>
      </c>
      <c r="W73" s="223">
        <f>-Предпосылки!R288</f>
        <v>0</v>
      </c>
      <c r="X73" s="223">
        <f>-Предпосылки!S288</f>
        <v>0</v>
      </c>
      <c r="Y73" s="223">
        <f>-Предпосылки!T288</f>
        <v>0</v>
      </c>
      <c r="Z73" s="223">
        <f>-Предпосылки!U288</f>
        <v>0</v>
      </c>
      <c r="AA73" s="223">
        <f>-Предпосылки!V288</f>
        <v>0</v>
      </c>
      <c r="AB73" s="223">
        <f>-Предпосылки!W288</f>
        <v>0</v>
      </c>
      <c r="AC73" s="223">
        <f>-Предпосылки!X288</f>
        <v>0</v>
      </c>
      <c r="AD73" s="223">
        <f>-Предпосылки!Y288</f>
        <v>0</v>
      </c>
      <c r="AE73" s="223">
        <f>-Предпосылки!Z288</f>
        <v>0</v>
      </c>
      <c r="AF73" s="223">
        <f>-Предпосылки!AA288</f>
        <v>0</v>
      </c>
      <c r="AG73" s="223">
        <f>-Предпосылки!AB288</f>
        <v>0</v>
      </c>
      <c r="AH73" s="223">
        <f>-Предпосылки!AC288</f>
        <v>0</v>
      </c>
      <c r="AI73" s="223">
        <f>-Предпосылки!AD288</f>
        <v>0</v>
      </c>
      <c r="AJ73" s="223">
        <f>-Предпосылки!AE288</f>
        <v>0</v>
      </c>
      <c r="AK73" s="223">
        <f>-Предпосылки!AF288</f>
        <v>0</v>
      </c>
      <c r="AL73" s="223">
        <f>-Предпосылки!AG288</f>
        <v>0</v>
      </c>
      <c r="AM73" s="223">
        <f>-Предпосылки!AH288</f>
        <v>0</v>
      </c>
      <c r="AN73" s="223">
        <f>-Предпосылки!AI288</f>
        <v>0</v>
      </c>
      <c r="AO73" s="223">
        <f>-Предпосылки!AJ288</f>
        <v>0</v>
      </c>
      <c r="AP73" s="60"/>
      <c r="AQ73" s="60"/>
      <c r="AR73" s="60"/>
      <c r="AS73" s="60"/>
      <c r="AT73" s="60"/>
    </row>
    <row r="74" spans="8:46" ht="20.25" customHeight="1">
      <c r="H74" s="105" t="s">
        <v>236</v>
      </c>
      <c r="I74" s="107" t="s">
        <v>29</v>
      </c>
      <c r="J74" s="115">
        <f t="shared" si="100"/>
        <v>-30789.759999999998</v>
      </c>
      <c r="K74" s="115">
        <f t="shared" si="101"/>
        <v>-20157.71</v>
      </c>
      <c r="L74" s="221">
        <f>SUM(L75:L76)</f>
        <v>0</v>
      </c>
      <c r="M74" s="221">
        <f t="shared" ref="M74:AO74" si="103">SUM(M75:M76)</f>
        <v>0</v>
      </c>
      <c r="N74" s="221">
        <f t="shared" si="103"/>
        <v>-913.5</v>
      </c>
      <c r="O74" s="221">
        <f t="shared" si="103"/>
        <v>-913.5</v>
      </c>
      <c r="P74" s="221">
        <f t="shared" si="103"/>
        <v>-931.5</v>
      </c>
      <c r="Q74" s="221">
        <f t="shared" si="103"/>
        <v>-950.04</v>
      </c>
      <c r="R74" s="221">
        <f>SUM(R75:R76)</f>
        <v>-969.21999999999991</v>
      </c>
      <c r="S74" s="221">
        <f t="shared" si="103"/>
        <v>-988.77</v>
      </c>
      <c r="T74" s="221">
        <f t="shared" si="103"/>
        <v>-1005.49</v>
      </c>
      <c r="U74" s="221">
        <f t="shared" si="103"/>
        <v>-1022.49</v>
      </c>
      <c r="V74" s="221">
        <f t="shared" si="103"/>
        <v>-1039.9299999999998</v>
      </c>
      <c r="W74" s="221">
        <f t="shared" si="103"/>
        <v>-1057.75</v>
      </c>
      <c r="X74" s="221">
        <f t="shared" si="103"/>
        <v>-1075.47</v>
      </c>
      <c r="Y74" s="221">
        <f t="shared" si="103"/>
        <v>-1093.74</v>
      </c>
      <c r="Z74" s="221">
        <f t="shared" si="103"/>
        <v>-1112.46</v>
      </c>
      <c r="AA74" s="221">
        <f t="shared" si="103"/>
        <v>-1131.5600000000002</v>
      </c>
      <c r="AB74" s="221">
        <f t="shared" si="103"/>
        <v>-1150.56</v>
      </c>
      <c r="AC74" s="221">
        <f t="shared" si="103"/>
        <v>-1170.1100000000001</v>
      </c>
      <c r="AD74" s="221">
        <f t="shared" si="103"/>
        <v>-1190.2</v>
      </c>
      <c r="AE74" s="221">
        <f t="shared" si="103"/>
        <v>-1210.5700000000002</v>
      </c>
      <c r="AF74" s="221">
        <f t="shared" si="103"/>
        <v>-1230.8499999999999</v>
      </c>
      <c r="AG74" s="221">
        <f t="shared" si="103"/>
        <v>-1251.68</v>
      </c>
      <c r="AH74" s="221">
        <f t="shared" si="103"/>
        <v>-1273.1500000000001</v>
      </c>
      <c r="AI74" s="221">
        <f t="shared" si="103"/>
        <v>-1294.98</v>
      </c>
      <c r="AJ74" s="221">
        <f t="shared" si="103"/>
        <v>-1316.9</v>
      </c>
      <c r="AK74" s="221">
        <f t="shared" si="103"/>
        <v>-1339.19</v>
      </c>
      <c r="AL74" s="221">
        <f t="shared" si="103"/>
        <v>-1362.1200000000001</v>
      </c>
      <c r="AM74" s="221">
        <f t="shared" si="103"/>
        <v>-1385.41</v>
      </c>
      <c r="AN74" s="221">
        <f t="shared" si="103"/>
        <v>-1408.62</v>
      </c>
      <c r="AO74" s="221">
        <f t="shared" si="103"/>
        <v>0</v>
      </c>
      <c r="AP74" s="60"/>
      <c r="AQ74" s="60"/>
      <c r="AR74" s="60"/>
      <c r="AS74" s="60"/>
      <c r="AT74" s="60"/>
    </row>
    <row r="75" spans="8:46" ht="20.25" customHeight="1" outlineLevel="1">
      <c r="H75" s="203" t="s">
        <v>408</v>
      </c>
      <c r="I75" s="204"/>
      <c r="J75" s="205"/>
      <c r="K75" s="205"/>
      <c r="L75" s="223">
        <f>-(ROUND(Предпосылки!E309*L29,2)+L123)</f>
        <v>0</v>
      </c>
      <c r="M75" s="223">
        <f>-(ROUND(Предпосылки!F309*M29,2)+M123)</f>
        <v>0</v>
      </c>
      <c r="N75" s="223">
        <f>-(ROUND(Предпосылки!G309*N29,2)+N123)</f>
        <v>-913.5</v>
      </c>
      <c r="O75" s="223">
        <f>-(ROUND(Предпосылки!H309*O29,2)+O123)</f>
        <v>-913.5</v>
      </c>
      <c r="P75" s="223">
        <f>-(ROUND(Предпосылки!I309*P29,2)+P123)</f>
        <v>-931.5</v>
      </c>
      <c r="Q75" s="223">
        <f>-(ROUND(Предпосылки!J309*Q29,2)+Q123)</f>
        <v>-950.04</v>
      </c>
      <c r="R75" s="223">
        <f>-(ROUND(Предпосылки!K309*R29,2)+R123)</f>
        <v>-969.21999999999991</v>
      </c>
      <c r="S75" s="223">
        <f>-(ROUND(Предпосылки!L309*S29,2)+S123)</f>
        <v>-988.77</v>
      </c>
      <c r="T75" s="223">
        <f>-(ROUND(Предпосылки!M309*T29,2)+T123)</f>
        <v>-1005.49</v>
      </c>
      <c r="U75" s="223">
        <f>-(ROUND(Предпосылки!N309*U29,2)+U123)</f>
        <v>-1022.49</v>
      </c>
      <c r="V75" s="223">
        <f>-(ROUND(Предпосылки!O309*V29,2)+V123)</f>
        <v>-1039.9299999999998</v>
      </c>
      <c r="W75" s="223">
        <f>-(ROUND(Предпосылки!P309*W29,2)+W123)</f>
        <v>-1057.75</v>
      </c>
      <c r="X75" s="223">
        <f>-(ROUND(Предпосылки!Q309*X29,2)+X123)</f>
        <v>-1075.47</v>
      </c>
      <c r="Y75" s="223">
        <f>-(ROUND(Предпосылки!R309*Y29,2)+Y123)</f>
        <v>-1093.74</v>
      </c>
      <c r="Z75" s="223">
        <f>-(ROUND(Предпосылки!S309*Z29,2)+Z123)</f>
        <v>-1112.46</v>
      </c>
      <c r="AA75" s="223">
        <f>-(ROUND(Предпосылки!T309*AA29,2)+AA123)</f>
        <v>-1131.5600000000002</v>
      </c>
      <c r="AB75" s="223">
        <f>-(ROUND(Предпосылки!U309*AB29,2)+AB123)</f>
        <v>-1150.56</v>
      </c>
      <c r="AC75" s="223">
        <f>-(ROUND(Предпосылки!V309*AC29,2)+AC123)</f>
        <v>-1170.1100000000001</v>
      </c>
      <c r="AD75" s="223">
        <f>-(ROUND(Предпосылки!W309*AD29,2)+AD123)</f>
        <v>-1190.2</v>
      </c>
      <c r="AE75" s="223">
        <f>-(ROUND(Предпосылки!X309*AE29,2)+AE123)</f>
        <v>-1210.5700000000002</v>
      </c>
      <c r="AF75" s="223">
        <f>-(ROUND(Предпосылки!Y309*AF29,2)+AF123)</f>
        <v>-1230.8499999999999</v>
      </c>
      <c r="AG75" s="223">
        <f>-(ROUND(Предпосылки!Z309*AG29,2)+AG123)</f>
        <v>-1251.68</v>
      </c>
      <c r="AH75" s="223">
        <f>-(ROUND(Предпосылки!AA309*AH29,2)+AH123)</f>
        <v>-1273.1500000000001</v>
      </c>
      <c r="AI75" s="223">
        <f>-(ROUND(Предпосылки!AB309*AI29,2)+AI123)</f>
        <v>-1294.98</v>
      </c>
      <c r="AJ75" s="223">
        <f>-(ROUND(Предпосылки!AC309*AJ29,2)+AJ123)</f>
        <v>-1316.9</v>
      </c>
      <c r="AK75" s="223">
        <f>-(ROUND(Предпосылки!AD309*AK29,2)+AK123)</f>
        <v>-1339.19</v>
      </c>
      <c r="AL75" s="223">
        <f>-(ROUND(Предпосылки!AE309*AL29,2)+AL123)</f>
        <v>-1362.1200000000001</v>
      </c>
      <c r="AM75" s="223">
        <f>-(ROUND(Предпосылки!AF309*AM29,2)+AM123)</f>
        <v>-1385.41</v>
      </c>
      <c r="AN75" s="223">
        <f>-(ROUND(Предпосылки!AG309*AN29,2)+AN123)</f>
        <v>-1408.62</v>
      </c>
      <c r="AO75" s="223">
        <f>-(ROUND(Предпосылки!AH309*AO29,2)+AO123)</f>
        <v>0</v>
      </c>
      <c r="AP75" s="60"/>
      <c r="AQ75" s="60"/>
      <c r="AR75" s="60"/>
      <c r="AS75" s="60"/>
      <c r="AT75" s="60"/>
    </row>
    <row r="76" spans="8:46" ht="20.25" customHeight="1" outlineLevel="1">
      <c r="H76" s="203" t="s">
        <v>409</v>
      </c>
      <c r="I76" s="204"/>
      <c r="J76" s="205"/>
      <c r="K76" s="205"/>
      <c r="L76" s="223">
        <f>-Предпосылки!E312</f>
        <v>0</v>
      </c>
      <c r="M76" s="223">
        <f>-Предпосылки!F312</f>
        <v>0</v>
      </c>
      <c r="N76" s="223">
        <f>-Предпосылки!G312</f>
        <v>0</v>
      </c>
      <c r="O76" s="223">
        <f>-Предпосылки!H312</f>
        <v>0</v>
      </c>
      <c r="P76" s="223">
        <f>-Предпосылки!I312</f>
        <v>0</v>
      </c>
      <c r="Q76" s="223">
        <f>-Предпосылки!J312</f>
        <v>0</v>
      </c>
      <c r="R76" s="223">
        <f>-Предпосылки!K312</f>
        <v>0</v>
      </c>
      <c r="S76" s="223">
        <f>-Предпосылки!L312</f>
        <v>0</v>
      </c>
      <c r="T76" s="223">
        <f>-Предпосылки!M312</f>
        <v>0</v>
      </c>
      <c r="U76" s="223">
        <f>-Предпосылки!N312</f>
        <v>0</v>
      </c>
      <c r="V76" s="223">
        <f>-Предпосылки!O312</f>
        <v>0</v>
      </c>
      <c r="W76" s="223">
        <f>-Предпосылки!P312</f>
        <v>0</v>
      </c>
      <c r="X76" s="223">
        <f>-Предпосылки!Q312</f>
        <v>0</v>
      </c>
      <c r="Y76" s="223">
        <f>-Предпосылки!R312</f>
        <v>0</v>
      </c>
      <c r="Z76" s="223">
        <f>-Предпосылки!S312</f>
        <v>0</v>
      </c>
      <c r="AA76" s="223">
        <f>-Предпосылки!T312</f>
        <v>0</v>
      </c>
      <c r="AB76" s="223">
        <f>-Предпосылки!U312</f>
        <v>0</v>
      </c>
      <c r="AC76" s="223">
        <f>-Предпосылки!V312</f>
        <v>0</v>
      </c>
      <c r="AD76" s="223">
        <f>-Предпосылки!W312</f>
        <v>0</v>
      </c>
      <c r="AE76" s="223">
        <f>-Предпосылки!X312</f>
        <v>0</v>
      </c>
      <c r="AF76" s="223">
        <f>-Предпосылки!Y312</f>
        <v>0</v>
      </c>
      <c r="AG76" s="223">
        <f>-Предпосылки!Z312</f>
        <v>0</v>
      </c>
      <c r="AH76" s="223">
        <f>-Предпосылки!AA312</f>
        <v>0</v>
      </c>
      <c r="AI76" s="223">
        <f>-Предпосылки!AB312</f>
        <v>0</v>
      </c>
      <c r="AJ76" s="223">
        <f>-Предпосылки!AC312</f>
        <v>0</v>
      </c>
      <c r="AK76" s="223">
        <f>-Предпосылки!AD312</f>
        <v>0</v>
      </c>
      <c r="AL76" s="223">
        <f>-Предпосылки!AE312</f>
        <v>0</v>
      </c>
      <c r="AM76" s="223">
        <f>-Предпосылки!AF312</f>
        <v>0</v>
      </c>
      <c r="AN76" s="223">
        <f>-Предпосылки!AG312</f>
        <v>0</v>
      </c>
      <c r="AO76" s="223">
        <f>-Предпосылки!AH312</f>
        <v>0</v>
      </c>
      <c r="AP76" s="60"/>
      <c r="AQ76" s="60"/>
      <c r="AR76" s="60"/>
      <c r="AS76" s="60"/>
      <c r="AT76" s="60"/>
    </row>
    <row r="77" spans="8:46" ht="20.25" customHeight="1">
      <c r="H77" s="105" t="s">
        <v>237</v>
      </c>
      <c r="I77" s="107" t="s">
        <v>29</v>
      </c>
      <c r="J77" s="115">
        <f t="shared" si="100"/>
        <v>791.97</v>
      </c>
      <c r="K77" s="115">
        <f t="shared" si="101"/>
        <v>791.97</v>
      </c>
      <c r="L77" s="221">
        <f>SUM(L78:L81)</f>
        <v>0</v>
      </c>
      <c r="M77" s="221">
        <f t="shared" ref="M77:AN77" si="104">SUM(M78:M81)</f>
        <v>0</v>
      </c>
      <c r="N77" s="221">
        <f t="shared" si="104"/>
        <v>0</v>
      </c>
      <c r="O77" s="221">
        <f t="shared" si="104"/>
        <v>0</v>
      </c>
      <c r="P77" s="221">
        <f t="shared" si="104"/>
        <v>712.77</v>
      </c>
      <c r="Q77" s="221">
        <f t="shared" si="104"/>
        <v>79.199999999999989</v>
      </c>
      <c r="R77" s="221">
        <f t="shared" si="104"/>
        <v>0</v>
      </c>
      <c r="S77" s="221">
        <f t="shared" si="104"/>
        <v>0</v>
      </c>
      <c r="T77" s="221">
        <f t="shared" si="104"/>
        <v>0</v>
      </c>
      <c r="U77" s="221">
        <f t="shared" si="104"/>
        <v>0</v>
      </c>
      <c r="V77" s="221">
        <f t="shared" si="104"/>
        <v>0</v>
      </c>
      <c r="W77" s="221">
        <f t="shared" si="104"/>
        <v>0</v>
      </c>
      <c r="X77" s="221">
        <f t="shared" si="104"/>
        <v>0</v>
      </c>
      <c r="Y77" s="221">
        <f t="shared" si="104"/>
        <v>0</v>
      </c>
      <c r="Z77" s="221">
        <f t="shared" si="104"/>
        <v>0</v>
      </c>
      <c r="AA77" s="221">
        <f t="shared" si="104"/>
        <v>0</v>
      </c>
      <c r="AB77" s="221">
        <f t="shared" si="104"/>
        <v>0</v>
      </c>
      <c r="AC77" s="221">
        <f t="shared" si="104"/>
        <v>0</v>
      </c>
      <c r="AD77" s="221">
        <f t="shared" si="104"/>
        <v>0</v>
      </c>
      <c r="AE77" s="221">
        <f t="shared" si="104"/>
        <v>0</v>
      </c>
      <c r="AF77" s="221">
        <f t="shared" si="104"/>
        <v>0</v>
      </c>
      <c r="AG77" s="221">
        <f t="shared" si="104"/>
        <v>0</v>
      </c>
      <c r="AH77" s="221">
        <f t="shared" si="104"/>
        <v>0</v>
      </c>
      <c r="AI77" s="221">
        <f t="shared" si="104"/>
        <v>0</v>
      </c>
      <c r="AJ77" s="221">
        <f t="shared" si="104"/>
        <v>0</v>
      </c>
      <c r="AK77" s="221">
        <f t="shared" si="104"/>
        <v>0</v>
      </c>
      <c r="AL77" s="221">
        <f t="shared" si="104"/>
        <v>0</v>
      </c>
      <c r="AM77" s="221">
        <f t="shared" si="104"/>
        <v>0</v>
      </c>
      <c r="AN77" s="221">
        <f t="shared" si="104"/>
        <v>0</v>
      </c>
      <c r="AO77" s="221">
        <f>SUM(AO78:AO81)</f>
        <v>0</v>
      </c>
      <c r="AP77" s="60"/>
      <c r="AQ77" s="60"/>
      <c r="AR77" s="60"/>
      <c r="AS77" s="60"/>
      <c r="AT77" s="60"/>
    </row>
    <row r="78" spans="8:46" ht="20.25" customHeight="1" outlineLevel="1">
      <c r="H78" s="203" t="s">
        <v>410</v>
      </c>
      <c r="I78" s="204"/>
      <c r="J78" s="205"/>
      <c r="K78" s="205"/>
      <c r="L78" s="223">
        <f>-Предпосылки!D209</f>
        <v>0</v>
      </c>
      <c r="M78" s="223">
        <f>-Предпосылки!E209</f>
        <v>0</v>
      </c>
      <c r="N78" s="223">
        <f>-Предпосылки!F209</f>
        <v>0</v>
      </c>
      <c r="O78" s="223">
        <f>-Предпосылки!G209</f>
        <v>0</v>
      </c>
      <c r="P78" s="223">
        <f>-Предпосылки!H209</f>
        <v>0</v>
      </c>
      <c r="Q78" s="223">
        <f>-Предпосылки!I209</f>
        <v>0</v>
      </c>
      <c r="R78" s="223">
        <f>-Предпосылки!J209</f>
        <v>0</v>
      </c>
      <c r="S78" s="223">
        <f>-Предпосылки!K209</f>
        <v>0</v>
      </c>
      <c r="T78" s="223">
        <f>-Предпосылки!L209</f>
        <v>0</v>
      </c>
      <c r="U78" s="223">
        <f>-Предпосылки!M209</f>
        <v>0</v>
      </c>
      <c r="V78" s="223">
        <f>-Предпосылки!N209</f>
        <v>0</v>
      </c>
      <c r="W78" s="223">
        <f>-Предпосылки!O209</f>
        <v>0</v>
      </c>
      <c r="X78" s="223">
        <f>-Предпосылки!P209</f>
        <v>0</v>
      </c>
      <c r="Y78" s="223">
        <f>-Предпосылки!Q209</f>
        <v>0</v>
      </c>
      <c r="Z78" s="223">
        <f>-Предпосылки!R209</f>
        <v>0</v>
      </c>
      <c r="AA78" s="223">
        <f>-Предпосылки!S209</f>
        <v>0</v>
      </c>
      <c r="AB78" s="223">
        <f>-Предпосылки!T209</f>
        <v>0</v>
      </c>
      <c r="AC78" s="223">
        <f>-Предпосылки!U209</f>
        <v>0</v>
      </c>
      <c r="AD78" s="223">
        <f>-Предпосылки!V209</f>
        <v>0</v>
      </c>
      <c r="AE78" s="223">
        <f>-Предпосылки!W209</f>
        <v>0</v>
      </c>
      <c r="AF78" s="223">
        <f>-Предпосылки!X209</f>
        <v>0</v>
      </c>
      <c r="AG78" s="223">
        <f>-Предпосылки!Y209</f>
        <v>0</v>
      </c>
      <c r="AH78" s="223">
        <f>-Предпосылки!Z209</f>
        <v>0</v>
      </c>
      <c r="AI78" s="223">
        <f>-Предпосылки!AA209</f>
        <v>0</v>
      </c>
      <c r="AJ78" s="223">
        <f>-Предпосылки!AB209</f>
        <v>0</v>
      </c>
      <c r="AK78" s="223">
        <f>-Предпосылки!AC209</f>
        <v>0</v>
      </c>
      <c r="AL78" s="223">
        <f>-Предпосылки!AD209</f>
        <v>0</v>
      </c>
      <c r="AM78" s="223">
        <f>-Предпосылки!AE209</f>
        <v>0</v>
      </c>
      <c r="AN78" s="223">
        <f>-Предпосылки!AF209</f>
        <v>0</v>
      </c>
      <c r="AO78" s="223">
        <f>-Предпосылки!AG209</f>
        <v>0</v>
      </c>
      <c r="AP78" s="60"/>
      <c r="AQ78" s="60"/>
      <c r="AR78" s="60"/>
      <c r="AS78" s="60"/>
      <c r="AT78" s="60"/>
    </row>
    <row r="79" spans="8:46" ht="20.25" customHeight="1" outlineLevel="1">
      <c r="H79" s="203" t="s">
        <v>411</v>
      </c>
      <c r="I79" s="204"/>
      <c r="J79" s="205"/>
      <c r="K79" s="205"/>
      <c r="L79" s="223">
        <f>Предпосылки!D265*L25</f>
        <v>0</v>
      </c>
      <c r="M79" s="223">
        <f>Предпосылки!E265*M25</f>
        <v>0</v>
      </c>
      <c r="N79" s="223">
        <f>Предпосылки!F265*N25</f>
        <v>0</v>
      </c>
      <c r="O79" s="223">
        <f>Предпосылки!G265*O25</f>
        <v>0</v>
      </c>
      <c r="P79" s="223">
        <f>Предпосылки!H265*P25</f>
        <v>0</v>
      </c>
      <c r="Q79" s="223">
        <f>Предпосылки!I265*Q25</f>
        <v>0</v>
      </c>
      <c r="R79" s="223">
        <f>Предпосылки!J265*R25</f>
        <v>0</v>
      </c>
      <c r="S79" s="223">
        <f>Предпосылки!K265*S25</f>
        <v>0</v>
      </c>
      <c r="T79" s="223">
        <f>Предпосылки!L265*T25</f>
        <v>0</v>
      </c>
      <c r="U79" s="223">
        <f>Предпосылки!M265*U25</f>
        <v>0</v>
      </c>
      <c r="V79" s="223">
        <f>Предпосылки!N265*V25</f>
        <v>0</v>
      </c>
      <c r="W79" s="223">
        <f>Предпосылки!O265*W25</f>
        <v>0</v>
      </c>
      <c r="X79" s="223">
        <f>Предпосылки!P265*X25</f>
        <v>0</v>
      </c>
      <c r="Y79" s="223">
        <f>Предпосылки!Q265*Y25</f>
        <v>0</v>
      </c>
      <c r="Z79" s="223">
        <f>Предпосылки!R265*Z25</f>
        <v>0</v>
      </c>
      <c r="AA79" s="223">
        <f>Предпосылки!S265*AA25</f>
        <v>0</v>
      </c>
      <c r="AB79" s="223">
        <f>Предпосылки!T265*AB25</f>
        <v>0</v>
      </c>
      <c r="AC79" s="223">
        <f>Предпосылки!U265*AC25</f>
        <v>0</v>
      </c>
      <c r="AD79" s="223">
        <f>Предпосылки!V265*AD25</f>
        <v>0</v>
      </c>
      <c r="AE79" s="223">
        <f>Предпосылки!W265*AE25</f>
        <v>0</v>
      </c>
      <c r="AF79" s="223">
        <f>Предпосылки!X265*AF25</f>
        <v>0</v>
      </c>
      <c r="AG79" s="223">
        <f>Предпосылки!Y265*AG25</f>
        <v>0</v>
      </c>
      <c r="AH79" s="223">
        <f>Предпосылки!Z265*AH25</f>
        <v>0</v>
      </c>
      <c r="AI79" s="223">
        <f>Предпосылки!AA265*AI25</f>
        <v>0</v>
      </c>
      <c r="AJ79" s="223">
        <f>Предпосылки!AB265*AJ25</f>
        <v>0</v>
      </c>
      <c r="AK79" s="223">
        <f>Предпосылки!AC265*AK25</f>
        <v>0</v>
      </c>
      <c r="AL79" s="223">
        <f>Предпосылки!AD265*AL25</f>
        <v>0</v>
      </c>
      <c r="AM79" s="223">
        <f>Предпосылки!AE265*AM25</f>
        <v>0</v>
      </c>
      <c r="AN79" s="223">
        <f>Предпосылки!AF265*AN25</f>
        <v>0</v>
      </c>
      <c r="AO79" s="223">
        <f>Предпосылки!AG265*AO25</f>
        <v>0</v>
      </c>
      <c r="AP79" s="60"/>
      <c r="AQ79" s="60"/>
      <c r="AR79" s="60"/>
      <c r="AS79" s="60"/>
      <c r="AT79" s="60"/>
    </row>
    <row r="80" spans="8:46" ht="20.25" customHeight="1" outlineLevel="1">
      <c r="H80" s="203" t="s">
        <v>412</v>
      </c>
      <c r="I80" s="204"/>
      <c r="J80" s="205"/>
      <c r="K80" s="205"/>
      <c r="L80" s="223">
        <f>Предпосылки!G287*'Квартальная отчетность'!L27</f>
        <v>0</v>
      </c>
      <c r="M80" s="223">
        <f>Предпосылки!H287*'Квартальная отчетность'!M27</f>
        <v>0</v>
      </c>
      <c r="N80" s="223">
        <f>Предпосылки!I287*'Квартальная отчетность'!N27</f>
        <v>0</v>
      </c>
      <c r="O80" s="223">
        <f>Предпосылки!J287*'Квартальная отчетность'!O27</f>
        <v>0</v>
      </c>
      <c r="P80" s="223">
        <f>Предпосылки!K287*'Квартальная отчетность'!P27</f>
        <v>0</v>
      </c>
      <c r="Q80" s="223">
        <f>Предпосылки!L287*'Квартальная отчетность'!Q27</f>
        <v>0</v>
      </c>
      <c r="R80" s="223">
        <f>Предпосылки!M287*'Квартальная отчетность'!R27</f>
        <v>0</v>
      </c>
      <c r="S80" s="223">
        <f>Предпосылки!N287*'Квартальная отчетность'!S27</f>
        <v>0</v>
      </c>
      <c r="T80" s="223">
        <f>Предпосылки!O287*'Квартальная отчетность'!T27</f>
        <v>0</v>
      </c>
      <c r="U80" s="223">
        <f>Предпосылки!P287*'Квартальная отчетность'!U27</f>
        <v>0</v>
      </c>
      <c r="V80" s="223">
        <f>Предпосылки!Q287*'Квартальная отчетность'!V27</f>
        <v>0</v>
      </c>
      <c r="W80" s="223">
        <f>Предпосылки!R287*'Квартальная отчетность'!W27</f>
        <v>0</v>
      </c>
      <c r="X80" s="223">
        <f>Предпосылки!S287*'Квартальная отчетность'!X27</f>
        <v>0</v>
      </c>
      <c r="Y80" s="223">
        <f>Предпосылки!T287*'Квартальная отчетность'!Y27</f>
        <v>0</v>
      </c>
      <c r="Z80" s="223">
        <f>Предпосылки!U287*'Квартальная отчетность'!Z27</f>
        <v>0</v>
      </c>
      <c r="AA80" s="223">
        <f>Предпосылки!V287*'Квартальная отчетность'!AA27</f>
        <v>0</v>
      </c>
      <c r="AB80" s="223">
        <f>Предпосылки!W287*'Квартальная отчетность'!AB27</f>
        <v>0</v>
      </c>
      <c r="AC80" s="223">
        <f>Предпосылки!X287*'Квартальная отчетность'!AC27</f>
        <v>0</v>
      </c>
      <c r="AD80" s="223">
        <f>Предпосылки!Y287*'Квартальная отчетность'!AD27</f>
        <v>0</v>
      </c>
      <c r="AE80" s="223">
        <f>Предпосылки!Z287*'Квартальная отчетность'!AE27</f>
        <v>0</v>
      </c>
      <c r="AF80" s="223">
        <f>Предпосылки!AA287*'Квартальная отчетность'!AF27</f>
        <v>0</v>
      </c>
      <c r="AG80" s="223">
        <f>Предпосылки!AB287*'Квартальная отчетность'!AG27</f>
        <v>0</v>
      </c>
      <c r="AH80" s="223">
        <f>Предпосылки!AC287*'Квартальная отчетность'!AH27</f>
        <v>0</v>
      </c>
      <c r="AI80" s="223">
        <f>Предпосылки!AD287*'Квартальная отчетность'!AI27</f>
        <v>0</v>
      </c>
      <c r="AJ80" s="223">
        <f>Предпосылки!AE287*'Квартальная отчетность'!AJ27</f>
        <v>0</v>
      </c>
      <c r="AK80" s="223">
        <f>Предпосылки!AF287*'Квартальная отчетность'!AK27</f>
        <v>0</v>
      </c>
      <c r="AL80" s="223">
        <f>Предпосылки!AG287*'Квартальная отчетность'!AL27</f>
        <v>0</v>
      </c>
      <c r="AM80" s="223">
        <f>Предпосылки!AH287*'Квартальная отчетность'!AM27</f>
        <v>0</v>
      </c>
      <c r="AN80" s="223">
        <f>Предпосылки!AI287*'Квартальная отчетность'!AN27</f>
        <v>0</v>
      </c>
      <c r="AO80" s="223">
        <f>Предпосылки!AJ287*'Квартальная отчетность'!AO27</f>
        <v>0</v>
      </c>
      <c r="AP80" s="60"/>
      <c r="AQ80" s="60"/>
      <c r="AR80" s="60"/>
      <c r="AS80" s="60"/>
      <c r="AT80" s="60"/>
    </row>
    <row r="81" spans="5:46" ht="20.25" customHeight="1" outlineLevel="1">
      <c r="H81" s="203" t="s">
        <v>416</v>
      </c>
      <c r="I81" s="204"/>
      <c r="J81" s="205"/>
      <c r="K81" s="205"/>
      <c r="L81" s="223"/>
      <c r="M81" s="223"/>
      <c r="N81" s="223">
        <f>-Предпосылки!D268-Предпосылки!G290</f>
        <v>0</v>
      </c>
      <c r="O81" s="223">
        <f>-Предпосылки!E268-Предпосылки!H290</f>
        <v>0</v>
      </c>
      <c r="P81" s="223">
        <f>-Предпосылки!F268-Предпосылки!I290</f>
        <v>712.77</v>
      </c>
      <c r="Q81" s="223">
        <f>-Предпосылки!G268-Предпосылки!J290</f>
        <v>79.199999999999989</v>
      </c>
      <c r="R81" s="223">
        <f>-Предпосылки!H268-Предпосылки!K290</f>
        <v>0</v>
      </c>
      <c r="S81" s="223">
        <f>-Предпосылки!I268-Предпосылки!L290</f>
        <v>0</v>
      </c>
      <c r="T81" s="223">
        <f>-Предпосылки!J268-Предпосылки!M290</f>
        <v>0</v>
      </c>
      <c r="U81" s="223">
        <f>-Предпосылки!K268-Предпосылки!N290</f>
        <v>0</v>
      </c>
      <c r="V81" s="223">
        <f>-Предпосылки!L268-Предпосылки!O290</f>
        <v>0</v>
      </c>
      <c r="W81" s="223">
        <f>-Предпосылки!M268-Предпосылки!P290</f>
        <v>0</v>
      </c>
      <c r="X81" s="223">
        <f>-Предпосылки!N268-Предпосылки!Q290</f>
        <v>0</v>
      </c>
      <c r="Y81" s="223">
        <f>-Предпосылки!O268-Предпосылки!R290</f>
        <v>0</v>
      </c>
      <c r="Z81" s="223">
        <f>-Предпосылки!P268-Предпосылки!S290</f>
        <v>0</v>
      </c>
      <c r="AA81" s="223">
        <f>-Предпосылки!Q268-Предпосылки!T290</f>
        <v>0</v>
      </c>
      <c r="AB81" s="223">
        <f>-Предпосылки!R268-Предпосылки!U290</f>
        <v>0</v>
      </c>
      <c r="AC81" s="223">
        <f>-Предпосылки!S268-Предпосылки!V290</f>
        <v>0</v>
      </c>
      <c r="AD81" s="223">
        <f>-Предпосылки!T268-Предпосылки!W290</f>
        <v>0</v>
      </c>
      <c r="AE81" s="223">
        <f>-Предпосылки!U268-Предпосылки!X290</f>
        <v>0</v>
      </c>
      <c r="AF81" s="223">
        <f>-Предпосылки!V268-Предпосылки!Y290</f>
        <v>0</v>
      </c>
      <c r="AG81" s="223">
        <f>-Предпосылки!W268-Предпосылки!Z290</f>
        <v>0</v>
      </c>
      <c r="AH81" s="223">
        <f>-Предпосылки!X268-Предпосылки!AA290</f>
        <v>0</v>
      </c>
      <c r="AI81" s="223">
        <f>-Предпосылки!Y268-Предпосылки!AB290</f>
        <v>0</v>
      </c>
      <c r="AJ81" s="223">
        <f>-Предпосылки!Z268-Предпосылки!AC290</f>
        <v>0</v>
      </c>
      <c r="AK81" s="223">
        <f>-Предпосылки!AA268-Предпосылки!AD290</f>
        <v>0</v>
      </c>
      <c r="AL81" s="223">
        <f>-Предпосылки!AB268-Предпосылки!AE290</f>
        <v>0</v>
      </c>
      <c r="AM81" s="223">
        <f>-Предпосылки!AC268-Предпосылки!AF290</f>
        <v>0</v>
      </c>
      <c r="AN81" s="223">
        <f>-Предпосылки!AD268-Предпосылки!AG290</f>
        <v>0</v>
      </c>
      <c r="AO81" s="223">
        <f>-Предпосылки!AE268-Предпосылки!AH290</f>
        <v>0</v>
      </c>
      <c r="AP81" s="60"/>
      <c r="AQ81" s="60"/>
      <c r="AR81" s="60"/>
      <c r="AS81" s="60"/>
      <c r="AT81" s="60"/>
    </row>
    <row r="82" spans="5:46" ht="20.25" customHeight="1">
      <c r="H82" s="105" t="s">
        <v>238</v>
      </c>
      <c r="I82" s="107" t="s">
        <v>29</v>
      </c>
      <c r="J82" s="115">
        <f t="shared" si="100"/>
        <v>-2155.0877393442638</v>
      </c>
      <c r="K82" s="115">
        <f t="shared" si="101"/>
        <v>-1539.3483852459026</v>
      </c>
      <c r="L82" s="221">
        <f>-(IF($G$37&lt;=L10,$B$37,0)+IF($G$38&lt;=L10,$B$38,0)+IF($G$39&lt;=L10,$B$39,0)+IF($G$40&lt;=L10,$B$40,0)+IF($G$41&lt;=L10,$B$41,0)+IF($G$42&lt;=L10,$B$42,0)+IF($G$43&lt;=L10,$B$43,0)+IF($G$44&lt;=L10,$B$44,0)+IF($G$45&lt;=L10,$B$45,0)+IF($G$46&lt;=L10,$B$46,0)+IF($G$47&lt;=L10,$B$47,0)+IF($G$48&lt;=L10,$B$48,0)+IF($G$49&lt;=L10,$B$49,0)+IF($G$50&lt;=L10,$B$50,0)+IF($G$51&lt;=L10,$B$51,0)+IF($G$52&lt;=L10,$B$52,0)+IF($G$53&lt;=L10,$B$53,0)+IF($G$54&lt;=L10,$B$54,0)+IF($G$55&lt;=L10,$B$55,0)+IF($G$56&lt;=L10,$B$56,0))*IF(Предпосылки!$C$16=справочник!$A$36,1,0)</f>
        <v>0</v>
      </c>
      <c r="M82" s="221">
        <f>-(IF($G$37&lt;=M10,$B$37,0)+IF($G$38&lt;=M10,$B$38,0)+IF($G$39&lt;=M10,$B$39,0)+IF($G$40&lt;=M10,$B$40,0)+IF($G$41&lt;=M10,$B$41,0)+IF($G$42&lt;=M10,$B$42,0)+IF($G$43&lt;=M10,$B$43,0)+IF($G$44&lt;=M10,$B$44,0)+IF($G$45&lt;=M10,$B$45,0)+IF($G$46&lt;=M10,$B$46,0)+IF($G$47&lt;=M10,$B$47,0)+IF($G$48&lt;=M10,$B$48,0)+IF($G$49&lt;=M10,$B$49,0)+IF($G$50&lt;=M10,$B$50,0)+IF($G$51&lt;=M10,$B$51,0)+IF($G$52&lt;=M10,$B$52,0)+IF($G$53&lt;=M10,$B$53,0)+IF($G$54&lt;=M10,$B$54,0)+IF($G$55&lt;=M10,$B$55,0)+IF($G$56&lt;=M10,$B$56,0))*IF(Предпосылки!$C$16=справочник!$A$36,1,0)</f>
        <v>-76.967419262295095</v>
      </c>
      <c r="N82" s="221">
        <f>-(IF($G$37&lt;=N10,$B$37,0)+IF($G$38&lt;=N10,$B$38,0)+IF($G$39&lt;=N10,$B$39,0)+IF($G$40&lt;=N10,$B$40,0)+IF($G$41&lt;=N10,$B$41,0)+IF($G$42&lt;=N10,$B$42,0)+IF($G$43&lt;=N10,$B$43,0)+IF($G$44&lt;=N10,$B$44,0)+IF($G$45&lt;=N10,$B$45,0)+IF($G$46&lt;=N10,$B$46,0)+IF($G$47&lt;=N10,$B$47,0)+IF($G$48&lt;=N10,$B$48,0)+IF($G$49&lt;=N10,$B$49,0)+IF($G$50&lt;=N10,$B$50,0)+IF($G$51&lt;=N10,$B$51,0)+IF($G$52&lt;=N10,$B$52,0)+IF($G$53&lt;=N10,$B$53,0)+IF($G$54&lt;=N10,$B$54,0)+IF($G$55&lt;=N10,$B$55,0)+IF($G$56&lt;=N10,$B$56,0))*IF(Предпосылки!$C$16=справочник!$A$36,1,0)</f>
        <v>-76.967419262295095</v>
      </c>
      <c r="O82" s="221">
        <f>-(IF($G$37&lt;=O10,$B$37,0)+IF($G$38&lt;=O10,$B$38,0)+IF($G$39&lt;=O10,$B$39,0)+IF($G$40&lt;=O10,$B$40,0)+IF($G$41&lt;=O10,$B$41,0)+IF($G$42&lt;=O10,$B$42,0)+IF($G$43&lt;=O10,$B$43,0)+IF($G$44&lt;=O10,$B$44,0)+IF($G$45&lt;=O10,$B$45,0)+IF($G$46&lt;=O10,$B$46,0)+IF($G$47&lt;=O10,$B$47,0)+IF($G$48&lt;=O10,$B$48,0)+IF($G$49&lt;=O10,$B$49,0)+IF($G$50&lt;=O10,$B$50,0)+IF($G$51&lt;=O10,$B$51,0)+IF($G$52&lt;=O10,$B$52,0)+IF($G$53&lt;=O10,$B$53,0)+IF($G$54&lt;=O10,$B$54,0)+IF($G$55&lt;=O10,$B$55,0)+IF($G$56&lt;=O10,$B$56,0))*IF(Предпосылки!$C$16=справочник!$A$36,1,0)</f>
        <v>-76.967419262295095</v>
      </c>
      <c r="P82" s="221">
        <f>-(IF($G$37&lt;=P10,$B$37,0)+IF($G$38&lt;=P10,$B$38,0)+IF($G$39&lt;=P10,$B$39,0)+IF($G$40&lt;=P10,$B$40,0)+IF($G$41&lt;=P10,$B$41,0)+IF($G$42&lt;=P10,$B$42,0)+IF($G$43&lt;=P10,$B$43,0)+IF($G$44&lt;=P10,$B$44,0)+IF($G$45&lt;=P10,$B$45,0)+IF($G$46&lt;=P10,$B$46,0)+IF($G$47&lt;=P10,$B$47,0)+IF($G$48&lt;=P10,$B$48,0)+IF($G$49&lt;=P10,$B$49,0)+IF($G$50&lt;=P10,$B$50,0)+IF($G$51&lt;=P10,$B$51,0)+IF($G$52&lt;=P10,$B$52,0)+IF($G$53&lt;=P10,$B$53,0)+IF($G$54&lt;=P10,$B$54,0)+IF($G$55&lt;=P10,$B$55,0)+IF($G$56&lt;=P10,$B$56,0))*IF(Предпосылки!$C$16=справочник!$A$36,1,0)</f>
        <v>-76.967419262295095</v>
      </c>
      <c r="Q82" s="221">
        <f>-(IF($G$37&lt;=Q10,$B$37,0)+IF($G$38&lt;=Q10,$B$38,0)+IF($G$39&lt;=Q10,$B$39,0)+IF($G$40&lt;=Q10,$B$40,0)+IF($G$41&lt;=Q10,$B$41,0)+IF($G$42&lt;=Q10,$B$42,0)+IF($G$43&lt;=Q10,$B$43,0)+IF($G$44&lt;=Q10,$B$44,0)+IF($G$45&lt;=Q10,$B$45,0)+IF($G$46&lt;=Q10,$B$46,0)+IF($G$47&lt;=Q10,$B$47,0)+IF($G$48&lt;=Q10,$B$48,0)+IF($G$49&lt;=Q10,$B$49,0)+IF($G$50&lt;=Q10,$B$50,0)+IF($G$51&lt;=Q10,$B$51,0)+IF($G$52&lt;=Q10,$B$52,0)+IF($G$53&lt;=Q10,$B$53,0)+IF($G$54&lt;=Q10,$B$54,0)+IF($G$55&lt;=Q10,$B$55,0)+IF($G$56&lt;=Q10,$B$56,0))*IF(Предпосылки!$C$16=справочник!$A$36,1,0)</f>
        <v>-76.967419262295095</v>
      </c>
      <c r="R82" s="221">
        <f>-(IF($G$37&lt;=R10,$B$37,0)+IF($G$38&lt;=R10,$B$38,0)+IF($G$39&lt;=R10,$B$39,0)+IF($G$40&lt;=R10,$B$40,0)+IF($G$41&lt;=R10,$B$41,0)+IF($G$42&lt;=R10,$B$42,0)+IF($G$43&lt;=R10,$B$43,0)+IF($G$44&lt;=R10,$B$44,0)+IF($G$45&lt;=R10,$B$45,0)+IF($G$46&lt;=R10,$B$46,0)+IF($G$47&lt;=R10,$B$47,0)+IF($G$48&lt;=R10,$B$48,0)+IF($G$49&lt;=R10,$B$49,0)+IF($G$50&lt;=R10,$B$50,0)+IF($G$51&lt;=R10,$B$51,0)+IF($G$52&lt;=R10,$B$52,0)+IF($G$53&lt;=R10,$B$53,0)+IF($G$54&lt;=R10,$B$54,0)+IF($G$55&lt;=R10,$B$55,0)+IF($G$56&lt;=R10,$B$56,0))*IF(Предпосылки!$C$16=справочник!$A$36,1,0)</f>
        <v>-76.967419262295095</v>
      </c>
      <c r="S82" s="221">
        <f>-(IF($G$37&lt;=S10,$B$37,0)+IF($G$38&lt;=S10,$B$38,0)+IF($G$39&lt;=S10,$B$39,0)+IF($G$40&lt;=S10,$B$40,0)+IF($G$41&lt;=S10,$B$41,0)+IF($G$42&lt;=S10,$B$42,0)+IF($G$43&lt;=S10,$B$43,0)+IF($G$44&lt;=S10,$B$44,0)+IF($G$45&lt;=S10,$B$45,0)+IF($G$46&lt;=S10,$B$46,0)+IF($G$47&lt;=S10,$B$47,0)+IF($G$48&lt;=S10,$B$48,0)+IF($G$49&lt;=S10,$B$49,0)+IF($G$50&lt;=S10,$B$50,0)+IF($G$51&lt;=S10,$B$51,0)+IF($G$52&lt;=S10,$B$52,0)+IF($G$53&lt;=S10,$B$53,0)+IF($G$54&lt;=S10,$B$54,0)+IF($G$55&lt;=S10,$B$55,0)+IF($G$56&lt;=S10,$B$56,0))*IF(Предпосылки!$C$16=справочник!$A$36,1,0)</f>
        <v>-76.967419262295095</v>
      </c>
      <c r="T82" s="221">
        <f>-(IF($G$37&lt;=T10,$B$37,0)+IF($G$38&lt;=T10,$B$38,0)+IF($G$39&lt;=T10,$B$39,0)+IF($G$40&lt;=T10,$B$40,0)+IF($G$41&lt;=T10,$B$41,0)+IF($G$42&lt;=T10,$B$42,0)+IF($G$43&lt;=T10,$B$43,0)+IF($G$44&lt;=T10,$B$44,0)+IF($G$45&lt;=T10,$B$45,0)+IF($G$46&lt;=T10,$B$46,0)+IF($G$47&lt;=T10,$B$47,0)+IF($G$48&lt;=T10,$B$48,0)+IF($G$49&lt;=T10,$B$49,0)+IF($G$50&lt;=T10,$B$50,0)+IF($G$51&lt;=T10,$B$51,0)+IF($G$52&lt;=T10,$B$52,0)+IF($G$53&lt;=T10,$B$53,0)+IF($G$54&lt;=T10,$B$54,0)+IF($G$55&lt;=T10,$B$55,0)+IF($G$56&lt;=T10,$B$56,0))*IF(Предпосылки!$C$16=справочник!$A$36,1,0)</f>
        <v>-76.967419262295095</v>
      </c>
      <c r="U82" s="221">
        <f>-(IF($G$37&lt;=U10,$B$37,0)+IF($G$38&lt;=U10,$B$38,0)+IF($G$39&lt;=U10,$B$39,0)+IF($G$40&lt;=U10,$B$40,0)+IF($G$41&lt;=U10,$B$41,0)+IF($G$42&lt;=U10,$B$42,0)+IF($G$43&lt;=U10,$B$43,0)+IF($G$44&lt;=U10,$B$44,0)+IF($G$45&lt;=U10,$B$45,0)+IF($G$46&lt;=U10,$B$46,0)+IF($G$47&lt;=U10,$B$47,0)+IF($G$48&lt;=U10,$B$48,0)+IF($G$49&lt;=U10,$B$49,0)+IF($G$50&lt;=U10,$B$50,0)+IF($G$51&lt;=U10,$B$51,0)+IF($G$52&lt;=U10,$B$52,0)+IF($G$53&lt;=U10,$B$53,0)+IF($G$54&lt;=U10,$B$54,0)+IF($G$55&lt;=U10,$B$55,0)+IF($G$56&lt;=U10,$B$56,0))*IF(Предпосылки!$C$16=справочник!$A$36,1,0)</f>
        <v>-76.967419262295095</v>
      </c>
      <c r="V82" s="221">
        <f>-(IF($G$37&lt;=V10,$B$37,0)+IF($G$38&lt;=V10,$B$38,0)+IF($G$39&lt;=V10,$B$39,0)+IF($G$40&lt;=V10,$B$40,0)+IF($G$41&lt;=V10,$B$41,0)+IF($G$42&lt;=V10,$B$42,0)+IF($G$43&lt;=V10,$B$43,0)+IF($G$44&lt;=V10,$B$44,0)+IF($G$45&lt;=V10,$B$45,0)+IF($G$46&lt;=V10,$B$46,0)+IF($G$47&lt;=V10,$B$47,0)+IF($G$48&lt;=V10,$B$48,0)+IF($G$49&lt;=V10,$B$49,0)+IF($G$50&lt;=V10,$B$50,0)+IF($G$51&lt;=V10,$B$51,0)+IF($G$52&lt;=V10,$B$52,0)+IF($G$53&lt;=V10,$B$53,0)+IF($G$54&lt;=V10,$B$54,0)+IF($G$55&lt;=V10,$B$55,0)+IF($G$56&lt;=V10,$B$56,0))*IF(Предпосылки!$C$16=справочник!$A$36,1,0)</f>
        <v>-76.967419262295095</v>
      </c>
      <c r="W82" s="221">
        <f>-(IF($G$37&lt;=W10,$B$37,0)+IF($G$38&lt;=W10,$B$38,0)+IF($G$39&lt;=W10,$B$39,0)+IF($G$40&lt;=W10,$B$40,0)+IF($G$41&lt;=W10,$B$41,0)+IF($G$42&lt;=W10,$B$42,0)+IF($G$43&lt;=W10,$B$43,0)+IF($G$44&lt;=W10,$B$44,0)+IF($G$45&lt;=W10,$B$45,0)+IF($G$46&lt;=W10,$B$46,0)+IF($G$47&lt;=W10,$B$47,0)+IF($G$48&lt;=W10,$B$48,0)+IF($G$49&lt;=W10,$B$49,0)+IF($G$50&lt;=W10,$B$50,0)+IF($G$51&lt;=W10,$B$51,0)+IF($G$52&lt;=W10,$B$52,0)+IF($G$53&lt;=W10,$B$53,0)+IF($G$54&lt;=W10,$B$54,0)+IF($G$55&lt;=W10,$B$55,0)+IF($G$56&lt;=W10,$B$56,0))*IF(Предпосылки!$C$16=справочник!$A$36,1,0)</f>
        <v>-76.967419262295095</v>
      </c>
      <c r="X82" s="221">
        <f>-(IF($G$37&lt;=X10,$B$37,0)+IF($G$38&lt;=X10,$B$38,0)+IF($G$39&lt;=X10,$B$39,0)+IF($G$40&lt;=X10,$B$40,0)+IF($G$41&lt;=X10,$B$41,0)+IF($G$42&lt;=X10,$B$42,0)+IF($G$43&lt;=X10,$B$43,0)+IF($G$44&lt;=X10,$B$44,0)+IF($G$45&lt;=X10,$B$45,0)+IF($G$46&lt;=X10,$B$46,0)+IF($G$47&lt;=X10,$B$47,0)+IF($G$48&lt;=X10,$B$48,0)+IF($G$49&lt;=X10,$B$49,0)+IF($G$50&lt;=X10,$B$50,0)+IF($G$51&lt;=X10,$B$51,0)+IF($G$52&lt;=X10,$B$52,0)+IF($G$53&lt;=X10,$B$53,0)+IF($G$54&lt;=X10,$B$54,0)+IF($G$55&lt;=X10,$B$55,0)+IF($G$56&lt;=X10,$B$56,0))*IF(Предпосылки!$C$16=справочник!$A$36,1,0)</f>
        <v>-76.967419262295095</v>
      </c>
      <c r="Y82" s="221">
        <f>-(IF($G$37&lt;=Y10,$B$37,0)+IF($G$38&lt;=Y10,$B$38,0)+IF($G$39&lt;=Y10,$B$39,0)+IF($G$40&lt;=Y10,$B$40,0)+IF($G$41&lt;=Y10,$B$41,0)+IF($G$42&lt;=Y10,$B$42,0)+IF($G$43&lt;=Y10,$B$43,0)+IF($G$44&lt;=Y10,$B$44,0)+IF($G$45&lt;=Y10,$B$45,0)+IF($G$46&lt;=Y10,$B$46,0)+IF($G$47&lt;=Y10,$B$47,0)+IF($G$48&lt;=Y10,$B$48,0)+IF($G$49&lt;=Y10,$B$49,0)+IF($G$50&lt;=Y10,$B$50,0)+IF($G$51&lt;=Y10,$B$51,0)+IF($G$52&lt;=Y10,$B$52,0)+IF($G$53&lt;=Y10,$B$53,0)+IF($G$54&lt;=Y10,$B$54,0)+IF($G$55&lt;=Y10,$B$55,0)+IF($G$56&lt;=Y10,$B$56,0))*IF(Предпосылки!$C$16=справочник!$A$36,1,0)</f>
        <v>-76.967419262295095</v>
      </c>
      <c r="Z82" s="221">
        <f>-(IF($G$37&lt;=Z10,$B$37,0)+IF($G$38&lt;=Z10,$B$38,0)+IF($G$39&lt;=Z10,$B$39,0)+IF($G$40&lt;=Z10,$B$40,0)+IF($G$41&lt;=Z10,$B$41,0)+IF($G$42&lt;=Z10,$B$42,0)+IF($G$43&lt;=Z10,$B$43,0)+IF($G$44&lt;=Z10,$B$44,0)+IF($G$45&lt;=Z10,$B$45,0)+IF($G$46&lt;=Z10,$B$46,0)+IF($G$47&lt;=Z10,$B$47,0)+IF($G$48&lt;=Z10,$B$48,0)+IF($G$49&lt;=Z10,$B$49,0)+IF($G$50&lt;=Z10,$B$50,0)+IF($G$51&lt;=Z10,$B$51,0)+IF($G$52&lt;=Z10,$B$52,0)+IF($G$53&lt;=Z10,$B$53,0)+IF($G$54&lt;=Z10,$B$54,0)+IF($G$55&lt;=Z10,$B$55,0)+IF($G$56&lt;=Z10,$B$56,0))*IF(Предпосылки!$C$16=справочник!$A$36,1,0)</f>
        <v>-76.967419262295095</v>
      </c>
      <c r="AA82" s="221">
        <f>-(IF($G$37&lt;=AA10,$B$37,0)+IF($G$38&lt;=AA10,$B$38,0)+IF($G$39&lt;=AA10,$B$39,0)+IF($G$40&lt;=AA10,$B$40,0)+IF($G$41&lt;=AA10,$B$41,0)+IF($G$42&lt;=AA10,$B$42,0)+IF($G$43&lt;=AA10,$B$43,0)+IF($G$44&lt;=AA10,$B$44,0)+IF($G$45&lt;=AA10,$B$45,0)+IF($G$46&lt;=AA10,$B$46,0)+IF($G$47&lt;=AA10,$B$47,0)+IF($G$48&lt;=AA10,$B$48,0)+IF($G$49&lt;=AA10,$B$49,0)+IF($G$50&lt;=AA10,$B$50,0)+IF($G$51&lt;=AA10,$B$51,0)+IF($G$52&lt;=AA10,$B$52,0)+IF($G$53&lt;=AA10,$B$53,0)+IF($G$54&lt;=AA10,$B$54,0)+IF($G$55&lt;=AA10,$B$55,0)+IF($G$56&lt;=AA10,$B$56,0))*IF(Предпосылки!$C$16=справочник!$A$36,1,0)</f>
        <v>-76.967419262295095</v>
      </c>
      <c r="AB82" s="221">
        <f>-(IF($G$37&lt;=AB10,$B$37,0)+IF($G$38&lt;=AB10,$B$38,0)+IF($G$39&lt;=AB10,$B$39,0)+IF($G$40&lt;=AB10,$B$40,0)+IF($G$41&lt;=AB10,$B$41,0)+IF($G$42&lt;=AB10,$B$42,0)+IF($G$43&lt;=AB10,$B$43,0)+IF($G$44&lt;=AB10,$B$44,0)+IF($G$45&lt;=AB10,$B$45,0)+IF($G$46&lt;=AB10,$B$46,0)+IF($G$47&lt;=AB10,$B$47,0)+IF($G$48&lt;=AB10,$B$48,0)+IF($G$49&lt;=AB10,$B$49,0)+IF($G$50&lt;=AB10,$B$50,0)+IF($G$51&lt;=AB10,$B$51,0)+IF($G$52&lt;=AB10,$B$52,0)+IF($G$53&lt;=AB10,$B$53,0)+IF($G$54&lt;=AB10,$B$54,0)+IF($G$55&lt;=AB10,$B$55,0)+IF($G$56&lt;=AB10,$B$56,0))*IF(Предпосылки!$C$16=справочник!$A$36,1,0)</f>
        <v>-76.967419262295095</v>
      </c>
      <c r="AC82" s="221">
        <f>-(IF($G$37&lt;=AC10,$B$37,0)+IF($G$38&lt;=AC10,$B$38,0)+IF($G$39&lt;=AC10,$B$39,0)+IF($G$40&lt;=AC10,$B$40,0)+IF($G$41&lt;=AC10,$B$41,0)+IF($G$42&lt;=AC10,$B$42,0)+IF($G$43&lt;=AC10,$B$43,0)+IF($G$44&lt;=AC10,$B$44,0)+IF($G$45&lt;=AC10,$B$45,0)+IF($G$46&lt;=AC10,$B$46,0)+IF($G$47&lt;=AC10,$B$47,0)+IF($G$48&lt;=AC10,$B$48,0)+IF($G$49&lt;=AC10,$B$49,0)+IF($G$50&lt;=AC10,$B$50,0)+IF($G$51&lt;=AC10,$B$51,0)+IF($G$52&lt;=AC10,$B$52,0)+IF($G$53&lt;=AC10,$B$53,0)+IF($G$54&lt;=AC10,$B$54,0)+IF($G$55&lt;=AC10,$B$55,0)+IF($G$56&lt;=AC10,$B$56,0))*IF(Предпосылки!$C$16=справочник!$A$36,1,0)</f>
        <v>-76.967419262295095</v>
      </c>
      <c r="AD82" s="221">
        <f>-(IF($G$37&lt;=AD10,$B$37,0)+IF($G$38&lt;=AD10,$B$38,0)+IF($G$39&lt;=AD10,$B$39,0)+IF($G$40&lt;=AD10,$B$40,0)+IF($G$41&lt;=AD10,$B$41,0)+IF($G$42&lt;=AD10,$B$42,0)+IF($G$43&lt;=AD10,$B$43,0)+IF($G$44&lt;=AD10,$B$44,0)+IF($G$45&lt;=AD10,$B$45,0)+IF($G$46&lt;=AD10,$B$46,0)+IF($G$47&lt;=AD10,$B$47,0)+IF($G$48&lt;=AD10,$B$48,0)+IF($G$49&lt;=AD10,$B$49,0)+IF($G$50&lt;=AD10,$B$50,0)+IF($G$51&lt;=AD10,$B$51,0)+IF($G$52&lt;=AD10,$B$52,0)+IF($G$53&lt;=AD10,$B$53,0)+IF($G$54&lt;=AD10,$B$54,0)+IF($G$55&lt;=AD10,$B$55,0)+IF($G$56&lt;=AD10,$B$56,0))*IF(Предпосылки!$C$16=справочник!$A$36,1,0)</f>
        <v>-76.967419262295095</v>
      </c>
      <c r="AE82" s="221">
        <f>-(IF($G$37&lt;=AE10,$B$37,0)+IF($G$38&lt;=AE10,$B$38,0)+IF($G$39&lt;=AE10,$B$39,0)+IF($G$40&lt;=AE10,$B$40,0)+IF($G$41&lt;=AE10,$B$41,0)+IF($G$42&lt;=AE10,$B$42,0)+IF($G$43&lt;=AE10,$B$43,0)+IF($G$44&lt;=AE10,$B$44,0)+IF($G$45&lt;=AE10,$B$45,0)+IF($G$46&lt;=AE10,$B$46,0)+IF($G$47&lt;=AE10,$B$47,0)+IF($G$48&lt;=AE10,$B$48,0)+IF($G$49&lt;=AE10,$B$49,0)+IF($G$50&lt;=AE10,$B$50,0)+IF($G$51&lt;=AE10,$B$51,0)+IF($G$52&lt;=AE10,$B$52,0)+IF($G$53&lt;=AE10,$B$53,0)+IF($G$54&lt;=AE10,$B$54,0)+IF($G$55&lt;=AE10,$B$55,0)+IF($G$56&lt;=AE10,$B$56,0))*IF(Предпосылки!$C$16=справочник!$A$36,1,0)</f>
        <v>-76.967419262295095</v>
      </c>
      <c r="AF82" s="221">
        <f>-(IF($G$37&lt;=AF10,$B$37,0)+IF($G$38&lt;=AF10,$B$38,0)+IF($G$39&lt;=AF10,$B$39,0)+IF($G$40&lt;=AF10,$B$40,0)+IF($G$41&lt;=AF10,$B$41,0)+IF($G$42&lt;=AF10,$B$42,0)+IF($G$43&lt;=AF10,$B$43,0)+IF($G$44&lt;=AF10,$B$44,0)+IF($G$45&lt;=AF10,$B$45,0)+IF($G$46&lt;=AF10,$B$46,0)+IF($G$47&lt;=AF10,$B$47,0)+IF($G$48&lt;=AF10,$B$48,0)+IF($G$49&lt;=AF10,$B$49,0)+IF($G$50&lt;=AF10,$B$50,0)+IF($G$51&lt;=AF10,$B$51,0)+IF($G$52&lt;=AF10,$B$52,0)+IF($G$53&lt;=AF10,$B$53,0)+IF($G$54&lt;=AF10,$B$54,0)+IF($G$55&lt;=AF10,$B$55,0)+IF($G$56&lt;=AF10,$B$56,0))*IF(Предпосылки!$C$16=справочник!$A$36,1,0)</f>
        <v>-76.967419262295095</v>
      </c>
      <c r="AG82" s="221">
        <f>-(IF($G$37&lt;=AG10,$B$37,0)+IF($G$38&lt;=AG10,$B$38,0)+IF($G$39&lt;=AG10,$B$39,0)+IF($G$40&lt;=AG10,$B$40,0)+IF($G$41&lt;=AG10,$B$41,0)+IF($G$42&lt;=AG10,$B$42,0)+IF($G$43&lt;=AG10,$B$43,0)+IF($G$44&lt;=AG10,$B$44,0)+IF($G$45&lt;=AG10,$B$45,0)+IF($G$46&lt;=AG10,$B$46,0)+IF($G$47&lt;=AG10,$B$47,0)+IF($G$48&lt;=AG10,$B$48,0)+IF($G$49&lt;=AG10,$B$49,0)+IF($G$50&lt;=AG10,$B$50,0)+IF($G$51&lt;=AG10,$B$51,0)+IF($G$52&lt;=AG10,$B$52,0)+IF($G$53&lt;=AG10,$B$53,0)+IF($G$54&lt;=AG10,$B$54,0)+IF($G$55&lt;=AG10,$B$55,0)+IF($G$56&lt;=AG10,$B$56,0))*IF(Предпосылки!$C$16=справочник!$A$36,1,0)</f>
        <v>-76.967419262295095</v>
      </c>
      <c r="AH82" s="221">
        <f>-(IF($G$37&lt;=AH10,$B$37,0)+IF($G$38&lt;=AH10,$B$38,0)+IF($G$39&lt;=AH10,$B$39,0)+IF($G$40&lt;=AH10,$B$40,0)+IF($G$41&lt;=AH10,$B$41,0)+IF($G$42&lt;=AH10,$B$42,0)+IF($G$43&lt;=AH10,$B$43,0)+IF($G$44&lt;=AH10,$B$44,0)+IF($G$45&lt;=AH10,$B$45,0)+IF($G$46&lt;=AH10,$B$46,0)+IF($G$47&lt;=AH10,$B$47,0)+IF($G$48&lt;=AH10,$B$48,0)+IF($G$49&lt;=AH10,$B$49,0)+IF($G$50&lt;=AH10,$B$50,0)+IF($G$51&lt;=AH10,$B$51,0)+IF($G$52&lt;=AH10,$B$52,0)+IF($G$53&lt;=AH10,$B$53,0)+IF($G$54&lt;=AH10,$B$54,0)+IF($G$55&lt;=AH10,$B$55,0)+IF($G$56&lt;=AH10,$B$56,0))*IF(Предпосылки!$C$16=справочник!$A$36,1,0)</f>
        <v>-76.967419262295095</v>
      </c>
      <c r="AI82" s="221">
        <f>-(IF($G$37&lt;=AI10,$B$37,0)+IF($G$38&lt;=AI10,$B$38,0)+IF($G$39&lt;=AI10,$B$39,0)+IF($G$40&lt;=AI10,$B$40,0)+IF($G$41&lt;=AI10,$B$41,0)+IF($G$42&lt;=AI10,$B$42,0)+IF($G$43&lt;=AI10,$B$43,0)+IF($G$44&lt;=AI10,$B$44,0)+IF($G$45&lt;=AI10,$B$45,0)+IF($G$46&lt;=AI10,$B$46,0)+IF($G$47&lt;=AI10,$B$47,0)+IF($G$48&lt;=AI10,$B$48,0)+IF($G$49&lt;=AI10,$B$49,0)+IF($G$50&lt;=AI10,$B$50,0)+IF($G$51&lt;=AI10,$B$51,0)+IF($G$52&lt;=AI10,$B$52,0)+IF($G$53&lt;=AI10,$B$53,0)+IF($G$54&lt;=AI10,$B$54,0)+IF($G$55&lt;=AI10,$B$55,0)+IF($G$56&lt;=AI10,$B$56,0))*IF(Предпосылки!$C$16=справочник!$A$36,1,0)</f>
        <v>-76.967419262295095</v>
      </c>
      <c r="AJ82" s="221">
        <f>-(IF($G$37&lt;=AJ10,$B$37,0)+IF($G$38&lt;=AJ10,$B$38,0)+IF($G$39&lt;=AJ10,$B$39,0)+IF($G$40&lt;=AJ10,$B$40,0)+IF($G$41&lt;=AJ10,$B$41,0)+IF($G$42&lt;=AJ10,$B$42,0)+IF($G$43&lt;=AJ10,$B$43,0)+IF($G$44&lt;=AJ10,$B$44,0)+IF($G$45&lt;=AJ10,$B$45,0)+IF($G$46&lt;=AJ10,$B$46,0)+IF($G$47&lt;=AJ10,$B$47,0)+IF($G$48&lt;=AJ10,$B$48,0)+IF($G$49&lt;=AJ10,$B$49,0)+IF($G$50&lt;=AJ10,$B$50,0)+IF($G$51&lt;=AJ10,$B$51,0)+IF($G$52&lt;=AJ10,$B$52,0)+IF($G$53&lt;=AJ10,$B$53,0)+IF($G$54&lt;=AJ10,$B$54,0)+IF($G$55&lt;=AJ10,$B$55,0)+IF($G$56&lt;=AJ10,$B$56,0))*IF(Предпосылки!$C$16=справочник!$A$36,1,0)</f>
        <v>-76.967419262295095</v>
      </c>
      <c r="AK82" s="221">
        <f>-(IF($G$37&lt;=AK10,$B$37,0)+IF($G$38&lt;=AK10,$B$38,0)+IF($G$39&lt;=AK10,$B$39,0)+IF($G$40&lt;=AK10,$B$40,0)+IF($G$41&lt;=AK10,$B$41,0)+IF($G$42&lt;=AK10,$B$42,0)+IF($G$43&lt;=AK10,$B$43,0)+IF($G$44&lt;=AK10,$B$44,0)+IF($G$45&lt;=AK10,$B$45,0)+IF($G$46&lt;=AK10,$B$46,0)+IF($G$47&lt;=AK10,$B$47,0)+IF($G$48&lt;=AK10,$B$48,0)+IF($G$49&lt;=AK10,$B$49,0)+IF($G$50&lt;=AK10,$B$50,0)+IF($G$51&lt;=AK10,$B$51,0)+IF($G$52&lt;=AK10,$B$52,0)+IF($G$53&lt;=AK10,$B$53,0)+IF($G$54&lt;=AK10,$B$54,0)+IF($G$55&lt;=AK10,$B$55,0)+IF($G$56&lt;=AK10,$B$56,0))*IF(Предпосылки!$C$16=справочник!$A$36,1,0)</f>
        <v>-76.967419262295095</v>
      </c>
      <c r="AL82" s="221">
        <f>-(IF($G$37&lt;=AL10,$B$37,0)+IF($G$38&lt;=AL10,$B$38,0)+IF($G$39&lt;=AL10,$B$39,0)+IF($G$40&lt;=AL10,$B$40,0)+IF($G$41&lt;=AL10,$B$41,0)+IF($G$42&lt;=AL10,$B$42,0)+IF($G$43&lt;=AL10,$B$43,0)+IF($G$44&lt;=AL10,$B$44,0)+IF($G$45&lt;=AL10,$B$45,0)+IF($G$46&lt;=AL10,$B$46,0)+IF($G$47&lt;=AL10,$B$47,0)+IF($G$48&lt;=AL10,$B$48,0)+IF($G$49&lt;=AL10,$B$49,0)+IF($G$50&lt;=AL10,$B$50,0)+IF($G$51&lt;=AL10,$B$51,0)+IF($G$52&lt;=AL10,$B$52,0)+IF($G$53&lt;=AL10,$B$53,0)+IF($G$54&lt;=AL10,$B$54,0)+IF($G$55&lt;=AL10,$B$55,0)+IF($G$56&lt;=AL10,$B$56,0))*IF(Предпосылки!$C$16=справочник!$A$36,1,0)</f>
        <v>-76.967419262295095</v>
      </c>
      <c r="AM82" s="221">
        <f>-(IF($G$37&lt;=AM10,$B$37,0)+IF($G$38&lt;=AM10,$B$38,0)+IF($G$39&lt;=AM10,$B$39,0)+IF($G$40&lt;=AM10,$B$40,0)+IF($G$41&lt;=AM10,$B$41,0)+IF($G$42&lt;=AM10,$B$42,0)+IF($G$43&lt;=AM10,$B$43,0)+IF($G$44&lt;=AM10,$B$44,0)+IF($G$45&lt;=AM10,$B$45,0)+IF($G$46&lt;=AM10,$B$46,0)+IF($G$47&lt;=AM10,$B$47,0)+IF($G$48&lt;=AM10,$B$48,0)+IF($G$49&lt;=AM10,$B$49,0)+IF($G$50&lt;=AM10,$B$50,0)+IF($G$51&lt;=AM10,$B$51,0)+IF($G$52&lt;=AM10,$B$52,0)+IF($G$53&lt;=AM10,$B$53,0)+IF($G$54&lt;=AM10,$B$54,0)+IF($G$55&lt;=AM10,$B$55,0)+IF($G$56&lt;=AM10,$B$56,0))*IF(Предпосылки!$C$16=справочник!$A$36,1,0)</f>
        <v>-76.967419262295095</v>
      </c>
      <c r="AN82" s="221">
        <f>-(IF($G$37&lt;=AN10,$B$37,0)+IF($G$38&lt;=AN10,$B$38,0)+IF($G$39&lt;=AN10,$B$39,0)+IF($G$40&lt;=AN10,$B$40,0)+IF($G$41&lt;=AN10,$B$41,0)+IF($G$42&lt;=AN10,$B$42,0)+IF($G$43&lt;=AN10,$B$43,0)+IF($G$44&lt;=AN10,$B$44,0)+IF($G$45&lt;=AN10,$B$45,0)+IF($G$46&lt;=AN10,$B$46,0)+IF($G$47&lt;=AN10,$B$47,0)+IF($G$48&lt;=AN10,$B$48,0)+IF($G$49&lt;=AN10,$B$49,0)+IF($G$50&lt;=AN10,$B$50,0)+IF($G$51&lt;=AN10,$B$51,0)+IF($G$52&lt;=AN10,$B$52,0)+IF($G$53&lt;=AN10,$B$53,0)+IF($G$54&lt;=AN10,$B$54,0)+IF($G$55&lt;=AN10,$B$55,0)+IF($G$56&lt;=AN10,$B$56,0))*IF(Предпосылки!$C$16=справочник!$A$36,1,0)</f>
        <v>-76.967419262295095</v>
      </c>
      <c r="AO82" s="221">
        <f>-(IF($G$37&lt;=AO10,$B$37,0)+IF($G$38&lt;=AO10,$B$38,0)+IF($G$39&lt;=AO10,$B$39,0)+IF($G$40&lt;=AO10,$B$40,0)+IF($G$41&lt;=AO10,$B$41,0)+IF($G$42&lt;=AO10,$B$42,0)+IF($G$43&lt;=AO10,$B$43,0)+IF($G$44&lt;=AO10,$B$44,0)+IF($G$45&lt;=AO10,$B$45,0)+IF($G$46&lt;=AO10,$B$46,0)+IF($G$47&lt;=AO10,$B$47,0)+IF($G$48&lt;=AO10,$B$48,0)+IF($G$49&lt;=AO10,$B$49,0)+IF($G$50&lt;=AO10,$B$50,0)+IF($G$51&lt;=AO10,$B$51,0)+IF($G$52&lt;=AO10,$B$52,0)+IF($G$53&lt;=AO10,$B$53,0)+IF($G$54&lt;=AO10,$B$54,0)+IF($G$55&lt;=AO10,$B$55,0)+IF($G$56&lt;=AO10,$B$56,0))*IF(Предпосылки!$C$16=справочник!$A$36,1,0)</f>
        <v>-76.967419262295095</v>
      </c>
      <c r="AP82" s="60"/>
      <c r="AQ82" s="60"/>
      <c r="AR82" s="60"/>
      <c r="AS82" s="60"/>
      <c r="AT82" s="60"/>
    </row>
    <row r="83" spans="5:46" ht="20.25" customHeight="1" collapsed="1">
      <c r="H83" s="105" t="str">
        <f>IF(Предпосылки!I16=справочник!A16,справочник!A67,справочник!A68)</f>
        <v>Уплата налога на прибыль (-)</v>
      </c>
      <c r="I83" s="107" t="s">
        <v>29</v>
      </c>
      <c r="J83" s="115">
        <f t="shared" si="100"/>
        <v>18915.193902049181</v>
      </c>
      <c r="K83" s="115">
        <f t="shared" si="101"/>
        <v>15040.80906352459</v>
      </c>
      <c r="L83" s="221">
        <f>-SUM(L84:L91,L122)</f>
        <v>1.17</v>
      </c>
      <c r="M83" s="221">
        <f t="shared" ref="M83:AO83" si="105">-SUM(M84:M91,M122)</f>
        <v>464.06657817622954</v>
      </c>
      <c r="N83" s="221">
        <f t="shared" si="105"/>
        <v>-204.35092182377048</v>
      </c>
      <c r="O83" s="221">
        <f t="shared" si="105"/>
        <v>674.01657817622959</v>
      </c>
      <c r="P83" s="221">
        <f t="shared" si="105"/>
        <v>611.74907817622955</v>
      </c>
      <c r="Q83" s="221">
        <f t="shared" si="105"/>
        <v>776.71157817622952</v>
      </c>
      <c r="R83" s="221">
        <f t="shared" si="105"/>
        <v>803.30907817622949</v>
      </c>
      <c r="S83" s="221">
        <f t="shared" si="105"/>
        <v>810.15157817622958</v>
      </c>
      <c r="T83" s="221">
        <f t="shared" si="105"/>
        <v>815.91657817622956</v>
      </c>
      <c r="U83" s="221">
        <f t="shared" si="105"/>
        <v>821.86157817622961</v>
      </c>
      <c r="V83" s="221">
        <f t="shared" si="105"/>
        <v>828.05157817622944</v>
      </c>
      <c r="W83" s="221">
        <f t="shared" si="105"/>
        <v>834.28657817622957</v>
      </c>
      <c r="X83" s="221">
        <f t="shared" si="105"/>
        <v>840.3190781762296</v>
      </c>
      <c r="Y83" s="221">
        <f t="shared" si="105"/>
        <v>846.79657817622956</v>
      </c>
      <c r="Z83" s="221">
        <f t="shared" si="105"/>
        <v>853.43157817622955</v>
      </c>
      <c r="AA83" s="221">
        <f t="shared" si="105"/>
        <v>860.11407817622967</v>
      </c>
      <c r="AB83" s="221">
        <f t="shared" si="105"/>
        <v>866.59657817622951</v>
      </c>
      <c r="AC83" s="221">
        <f t="shared" si="105"/>
        <v>873.51907817622953</v>
      </c>
      <c r="AD83" s="221">
        <f t="shared" si="105"/>
        <v>880.63657817622959</v>
      </c>
      <c r="AE83" s="221">
        <f t="shared" si="105"/>
        <v>887.76407817622953</v>
      </c>
      <c r="AF83" s="221">
        <f t="shared" si="105"/>
        <v>894.69157817622954</v>
      </c>
      <c r="AG83" s="221">
        <f t="shared" si="105"/>
        <v>457.23935481557379</v>
      </c>
      <c r="AH83" s="221">
        <f t="shared" si="105"/>
        <v>464.75185481557378</v>
      </c>
      <c r="AI83" s="221">
        <f t="shared" si="105"/>
        <v>472.38935481557382</v>
      </c>
      <c r="AJ83" s="221">
        <f t="shared" si="105"/>
        <v>480.06185481557384</v>
      </c>
      <c r="AK83" s="221">
        <f t="shared" si="105"/>
        <v>487.86185481557385</v>
      </c>
      <c r="AL83" s="221">
        <f t="shared" si="105"/>
        <v>495.88685481557383</v>
      </c>
      <c r="AM83" s="221">
        <f t="shared" si="105"/>
        <v>504.0368548155738</v>
      </c>
      <c r="AN83" s="221">
        <f t="shared" si="105"/>
        <v>512.15685481557375</v>
      </c>
      <c r="AO83" s="221">
        <f t="shared" si="105"/>
        <v>19.241854815573774</v>
      </c>
      <c r="AP83" s="60"/>
      <c r="AQ83" s="60"/>
      <c r="AR83" s="60"/>
      <c r="AS83" s="60"/>
      <c r="AT83" s="60"/>
    </row>
    <row r="84" spans="5:46" ht="20.25" customHeight="1" outlineLevel="1">
      <c r="G84" s="212">
        <v>0.06</v>
      </c>
      <c r="H84" s="203" t="s">
        <v>118</v>
      </c>
      <c r="I84" s="204"/>
      <c r="J84" s="205"/>
      <c r="K84" s="205"/>
      <c r="L84" s="223">
        <f>IF(Предпосылки!$C$16=справочник!$A$28,$G$84*L35-(-L124/2),0)</f>
        <v>0</v>
      </c>
      <c r="M84" s="223">
        <f>IF(Предпосылки!$C$16=справочник!$A$28,$G$84*M35-(-M124/2),0)</f>
        <v>0</v>
      </c>
      <c r="N84" s="223">
        <f>IF(Предпосылки!$C$16=справочник!$A$28,$G$84*N35-(-N124/2),0)</f>
        <v>0</v>
      </c>
      <c r="O84" s="223">
        <f>IF(Предпосылки!$C$16=справочник!$A$28,$G$84*O35-(-O124/2),0)</f>
        <v>0</v>
      </c>
      <c r="P84" s="223">
        <f>IF(Предпосылки!$C$16=справочник!$A$28,$G$84*P35-(-P124/2),0)</f>
        <v>0</v>
      </c>
      <c r="Q84" s="223">
        <f>IF(Предпосылки!$C$16=справочник!$A$28,$G$84*Q35-(-Q124/2),0)</f>
        <v>0</v>
      </c>
      <c r="R84" s="223">
        <f>IF(Предпосылки!$C$16=справочник!$A$28,$G$84*R35-(-R124/2),0)</f>
        <v>0</v>
      </c>
      <c r="S84" s="223">
        <f>IF(Предпосылки!$C$16=справочник!$A$28,$G$84*S35-(-S124/2),0)</f>
        <v>0</v>
      </c>
      <c r="T84" s="223">
        <f>IF(Предпосылки!$C$16=справочник!$A$28,$G$84*T35-(-T124/2),0)</f>
        <v>0</v>
      </c>
      <c r="U84" s="223">
        <f>IF(Предпосылки!$C$16=справочник!$A$28,$G$84*U35-(-U124/2),0)</f>
        <v>0</v>
      </c>
      <c r="V84" s="223">
        <f>IF(Предпосылки!$C$16=справочник!$A$28,$G$84*V35-(-V124/2),0)</f>
        <v>0</v>
      </c>
      <c r="W84" s="223">
        <f>IF(Предпосылки!$C$16=справочник!$A$28,$G$84*W35-(-W124/2),0)</f>
        <v>0</v>
      </c>
      <c r="X84" s="223">
        <f>IF(Предпосылки!$C$16=справочник!$A$28,$G$84*X35-(-X124/2),0)</f>
        <v>0</v>
      </c>
      <c r="Y84" s="223">
        <f>IF(Предпосылки!$C$16=справочник!$A$28,$G$84*Y35-(-Y124/2),0)</f>
        <v>0</v>
      </c>
      <c r="Z84" s="223">
        <f>IF(Предпосылки!$C$16=справочник!$A$28,$G$84*Z35-(-Z124/2),0)</f>
        <v>0</v>
      </c>
      <c r="AA84" s="223">
        <f>IF(Предпосылки!$C$16=справочник!$A$28,$G$84*AA35-(-AA124/2),0)</f>
        <v>0</v>
      </c>
      <c r="AB84" s="223">
        <f>IF(Предпосылки!$C$16=справочник!$A$28,$G$84*AB35-(-AB124/2),0)</f>
        <v>0</v>
      </c>
      <c r="AC84" s="223">
        <f>IF(Предпосылки!$C$16=справочник!$A$28,$G$84*AC35-(-AC124/2),0)</f>
        <v>0</v>
      </c>
      <c r="AD84" s="223">
        <f>IF(Предпосылки!$C$16=справочник!$A$28,$G$84*AD35-(-AD124/2),0)</f>
        <v>0</v>
      </c>
      <c r="AE84" s="223">
        <f>IF(Предпосылки!$C$16=справочник!$A$28,$G$84*AE35-(-AE124/2),0)</f>
        <v>0</v>
      </c>
      <c r="AF84" s="223">
        <f>IF(Предпосылки!$C$16=справочник!$A$28,$G$84*AF35-(-AF124/2),0)</f>
        <v>0</v>
      </c>
      <c r="AG84" s="223">
        <f>IF(Предпосылки!$C$16=справочник!$A$28,$G$84*AG35-(-AG124/2),0)</f>
        <v>0</v>
      </c>
      <c r="AH84" s="223">
        <f>IF(Предпосылки!$C$16=справочник!$A$28,$G$84*AH35-(-AH124/2),0)</f>
        <v>0</v>
      </c>
      <c r="AI84" s="223">
        <f>IF(Предпосылки!$C$16=справочник!$A$28,$G$84*AI35-(-AI124/2),0)</f>
        <v>0</v>
      </c>
      <c r="AJ84" s="223">
        <f>IF(Предпосылки!$C$16=справочник!$A$28,$G$84*AJ35-(-AJ124/2),0)</f>
        <v>0</v>
      </c>
      <c r="AK84" s="223">
        <f>IF(Предпосылки!$C$16=справочник!$A$28,$G$84*AK35-(-AK124/2),0)</f>
        <v>0</v>
      </c>
      <c r="AL84" s="223">
        <f>IF(Предпосылки!$C$16=справочник!$A$28,$G$84*AL35-(-AL124/2),0)</f>
        <v>0</v>
      </c>
      <c r="AM84" s="223">
        <f>IF(Предпосылки!$C$16=справочник!$A$28,$G$84*AM35-(-AM124/2),0)</f>
        <v>0</v>
      </c>
      <c r="AN84" s="223">
        <f>IF(Предпосылки!$C$16=справочник!$A$28,$G$84*AN35-(-AN124/2),0)</f>
        <v>0</v>
      </c>
      <c r="AO84" s="223">
        <f>IF(Предпосылки!$C$16=справочник!$A$28,$G$84*AO35-(-AO124/2),0)</f>
        <v>0</v>
      </c>
      <c r="AP84" s="60"/>
      <c r="AQ84" s="60"/>
      <c r="AR84" s="60"/>
      <c r="AS84" s="60"/>
      <c r="AT84" s="60"/>
    </row>
    <row r="85" spans="5:46" ht="20.25" customHeight="1" outlineLevel="1">
      <c r="F85" s="212">
        <v>0.05</v>
      </c>
      <c r="G85" s="212">
        <v>0.06</v>
      </c>
      <c r="H85" s="203" t="s">
        <v>119</v>
      </c>
      <c r="I85" s="204"/>
      <c r="J85" s="205"/>
      <c r="K85" s="205"/>
      <c r="L85" s="223">
        <f>IF(Предпосылки!$C$16=справочник!$A$29,$G$85*(L35/(1+$F$85))-(-L124/2),0)</f>
        <v>0</v>
      </c>
      <c r="M85" s="223">
        <f>IF(Предпосылки!$C$16=справочник!$A$29,$G$85*(M35/(1+$F$85))-(-M124/2),0)</f>
        <v>0</v>
      </c>
      <c r="N85" s="223">
        <f>IF(Предпосылки!$C$16=справочник!$A$29,$G$85*(N35/(1+$F$85))-(-N124/2),0)</f>
        <v>0</v>
      </c>
      <c r="O85" s="223">
        <f>IF(Предпосылки!$C$16=справочник!$A$29,$G$85*(O35/(1+$F$85))-(-O124/2),0)</f>
        <v>0</v>
      </c>
      <c r="P85" s="223">
        <f>IF(Предпосылки!$C$16=справочник!$A$29,$G$85*(P35/(1+$F$85))-(-P124/2),0)</f>
        <v>0</v>
      </c>
      <c r="Q85" s="223">
        <f>IF(Предпосылки!$C$16=справочник!$A$29,$G$85*(Q35/(1+$F$85))-(-Q124/2),0)</f>
        <v>0</v>
      </c>
      <c r="R85" s="223">
        <f>IF(Предпосылки!$C$16=справочник!$A$29,$G$85*(R35/(1+$F$85))-(-R124/2),0)</f>
        <v>0</v>
      </c>
      <c r="S85" s="223">
        <f>IF(Предпосылки!$C$16=справочник!$A$29,$G$85*(S35/(1+$F$85))-(-S124/2),0)</f>
        <v>0</v>
      </c>
      <c r="T85" s="223">
        <f>IF(Предпосылки!$C$16=справочник!$A$29,$G$85*(T35/(1+$F$85))-(-T124/2),0)</f>
        <v>0</v>
      </c>
      <c r="U85" s="223">
        <f>IF(Предпосылки!$C$16=справочник!$A$29,$G$85*(U35/(1+$F$85))-(-U124/2),0)</f>
        <v>0</v>
      </c>
      <c r="V85" s="223">
        <f>IF(Предпосылки!$C$16=справочник!$A$29,$G$85*(V35/(1+$F$85))-(-V124/2),0)</f>
        <v>0</v>
      </c>
      <c r="W85" s="223">
        <f>IF(Предпосылки!$C$16=справочник!$A$29,$G$85*(W35/(1+$F$85))-(-W124/2),0)</f>
        <v>0</v>
      </c>
      <c r="X85" s="223">
        <f>IF(Предпосылки!$C$16=справочник!$A$29,$G$85*(X35/(1+$F$85))-(-X124/2),0)</f>
        <v>0</v>
      </c>
      <c r="Y85" s="223">
        <f>IF(Предпосылки!$C$16=справочник!$A$29,$G$85*(Y35/(1+$F$85))-(-Y124/2),0)</f>
        <v>0</v>
      </c>
      <c r="Z85" s="223">
        <f>IF(Предпосылки!$C$16=справочник!$A$29,$G$85*(Z35/(1+$F$85))-(-Z124/2),0)</f>
        <v>0</v>
      </c>
      <c r="AA85" s="223">
        <f>IF(Предпосылки!$C$16=справочник!$A$29,$G$85*(AA35/(1+$F$85))-(-AA124/2),0)</f>
        <v>0</v>
      </c>
      <c r="AB85" s="223">
        <f>IF(Предпосылки!$C$16=справочник!$A$29,$G$85*(AB35/(1+$F$85))-(-AB124/2),0)</f>
        <v>0</v>
      </c>
      <c r="AC85" s="223">
        <f>IF(Предпосылки!$C$16=справочник!$A$29,$G$85*(AC35/(1+$F$85))-(-AC124/2),0)</f>
        <v>0</v>
      </c>
      <c r="AD85" s="223">
        <f>IF(Предпосылки!$C$16=справочник!$A$29,$G$85*(AD35/(1+$F$85))-(-AD124/2),0)</f>
        <v>0</v>
      </c>
      <c r="AE85" s="223">
        <f>IF(Предпосылки!$C$16=справочник!$A$29,$G$85*(AE35/(1+$F$85))-(-AE124/2),0)</f>
        <v>0</v>
      </c>
      <c r="AF85" s="223">
        <f>IF(Предпосылки!$C$16=справочник!$A$29,$G$85*(AF35/(1+$F$85))-(-AF124/2),0)</f>
        <v>0</v>
      </c>
      <c r="AG85" s="223">
        <f>IF(Предпосылки!$C$16=справочник!$A$29,$G$85*(AG35/(1+$F$85))-(-AG124/2),0)</f>
        <v>0</v>
      </c>
      <c r="AH85" s="223">
        <f>IF(Предпосылки!$C$16=справочник!$A$29,$G$85*(AH35/(1+$F$85))-(-AH124/2),0)</f>
        <v>0</v>
      </c>
      <c r="AI85" s="223">
        <f>IF(Предпосылки!$C$16=справочник!$A$29,$G$85*(AI35/(1+$F$85))-(-AI124/2),0)</f>
        <v>0</v>
      </c>
      <c r="AJ85" s="223">
        <f>IF(Предпосылки!$C$16=справочник!$A$29,$G$85*(AJ35/(1+$F$85))-(-AJ124/2),0)</f>
        <v>0</v>
      </c>
      <c r="AK85" s="223">
        <f>IF(Предпосылки!$C$16=справочник!$A$29,$G$85*(AK35/(1+$F$85))-(-AK124/2),0)</f>
        <v>0</v>
      </c>
      <c r="AL85" s="223">
        <f>IF(Предпосылки!$C$16=справочник!$A$29,$G$85*(AL35/(1+$F$85))-(-AL124/2),0)</f>
        <v>0</v>
      </c>
      <c r="AM85" s="223">
        <f>IF(Предпосылки!$C$16=справочник!$A$29,$G$85*(AM35/(1+$F$85))-(-AM124/2),0)</f>
        <v>0</v>
      </c>
      <c r="AN85" s="223">
        <f>IF(Предпосылки!$C$16=справочник!$A$29,$G$85*(AN35/(1+$F$85))-(-AN124/2),0)</f>
        <v>0</v>
      </c>
      <c r="AO85" s="223">
        <f>IF(Предпосылки!$C$16=справочник!$A$29,$G$85*(AO35/(1+$F$85))-(-AO124/2),0)</f>
        <v>0</v>
      </c>
      <c r="AP85" s="60"/>
      <c r="AQ85" s="60"/>
      <c r="AR85" s="60"/>
      <c r="AS85" s="60"/>
      <c r="AT85" s="60"/>
    </row>
    <row r="86" spans="5:46" ht="20.25" customHeight="1" outlineLevel="1">
      <c r="F86" s="212">
        <v>7.0000000000000007E-2</v>
      </c>
      <c r="G86" s="212">
        <v>0.06</v>
      </c>
      <c r="H86" s="203" t="s">
        <v>120</v>
      </c>
      <c r="I86" s="204"/>
      <c r="J86" s="205"/>
      <c r="K86" s="205"/>
      <c r="L86" s="223">
        <f>IF(Предпосылки!$C$16=справочник!$A$30,$G$86*(L35/(1+$F$86))-(-L124/2),0)</f>
        <v>0</v>
      </c>
      <c r="M86" s="223">
        <f>IF(Предпосылки!$C$16=справочник!$A$30,$G$86*(M35/(1+$F$86))-(-M124/2),0)</f>
        <v>0</v>
      </c>
      <c r="N86" s="223">
        <f>IF(Предпосылки!$C$16=справочник!$A$30,$G$86*(N35/(1+$F$86))-(-N124/2),0)</f>
        <v>0</v>
      </c>
      <c r="O86" s="223">
        <f>IF(Предпосылки!$C$16=справочник!$A$30,$G$86*(O35/(1+$F$86))-(-O124/2),0)</f>
        <v>0</v>
      </c>
      <c r="P86" s="223">
        <f>IF(Предпосылки!$C$16=справочник!$A$30,$G$86*(P35/(1+$F$86))-(-P124/2),0)</f>
        <v>0</v>
      </c>
      <c r="Q86" s="223">
        <f>IF(Предпосылки!$C$16=справочник!$A$30,$G$86*(Q35/(1+$F$86))-(-Q124/2),0)</f>
        <v>0</v>
      </c>
      <c r="R86" s="223">
        <f>IF(Предпосылки!$C$16=справочник!$A$30,$G$86*(R35/(1+$F$86))-(-R124/2),0)</f>
        <v>0</v>
      </c>
      <c r="S86" s="223">
        <f>IF(Предпосылки!$C$16=справочник!$A$30,$G$86*(S35/(1+$F$86))-(-S124/2),0)</f>
        <v>0</v>
      </c>
      <c r="T86" s="223">
        <f>IF(Предпосылки!$C$16=справочник!$A$30,$G$86*(T35/(1+$F$86))-(-T124/2),0)</f>
        <v>0</v>
      </c>
      <c r="U86" s="223">
        <f>IF(Предпосылки!$C$16=справочник!$A$30,$G$86*(U35/(1+$F$86))-(-U124/2),0)</f>
        <v>0</v>
      </c>
      <c r="V86" s="223">
        <f>IF(Предпосылки!$C$16=справочник!$A$30,$G$86*(V35/(1+$F$86))-(-V124/2),0)</f>
        <v>0</v>
      </c>
      <c r="W86" s="223">
        <f>IF(Предпосылки!$C$16=справочник!$A$30,$G$86*(W35/(1+$F$86))-(-W124/2),0)</f>
        <v>0</v>
      </c>
      <c r="X86" s="223">
        <f>IF(Предпосылки!$C$16=справочник!$A$30,$G$86*(X35/(1+$F$86))-(-X124/2),0)</f>
        <v>0</v>
      </c>
      <c r="Y86" s="223">
        <f>IF(Предпосылки!$C$16=справочник!$A$30,$G$86*(Y35/(1+$F$86))-(-Y124/2),0)</f>
        <v>0</v>
      </c>
      <c r="Z86" s="223">
        <f>IF(Предпосылки!$C$16=справочник!$A$30,$G$86*(Z35/(1+$F$86))-(-Z124/2),0)</f>
        <v>0</v>
      </c>
      <c r="AA86" s="223">
        <f>IF(Предпосылки!$C$16=справочник!$A$30,$G$86*(AA35/(1+$F$86))-(-AA124/2),0)</f>
        <v>0</v>
      </c>
      <c r="AB86" s="223">
        <f>IF(Предпосылки!$C$16=справочник!$A$30,$G$86*(AB35/(1+$F$86))-(-AB124/2),0)</f>
        <v>0</v>
      </c>
      <c r="AC86" s="223">
        <f>IF(Предпосылки!$C$16=справочник!$A$30,$G$86*(AC35/(1+$F$86))-(-AC124/2),0)</f>
        <v>0</v>
      </c>
      <c r="AD86" s="223">
        <f>IF(Предпосылки!$C$16=справочник!$A$30,$G$86*(AD35/(1+$F$86))-(-AD124/2),0)</f>
        <v>0</v>
      </c>
      <c r="AE86" s="223">
        <f>IF(Предпосылки!$C$16=справочник!$A$30,$G$86*(AE35/(1+$F$86))-(-AE124/2),0)</f>
        <v>0</v>
      </c>
      <c r="AF86" s="223">
        <f>IF(Предпосылки!$C$16=справочник!$A$30,$G$86*(AF35/(1+$F$86))-(-AF124/2),0)</f>
        <v>0</v>
      </c>
      <c r="AG86" s="223">
        <f>IF(Предпосылки!$C$16=справочник!$A$30,$G$86*(AG35/(1+$F$86))-(-AG124/2),0)</f>
        <v>0</v>
      </c>
      <c r="AH86" s="223">
        <f>IF(Предпосылки!$C$16=справочник!$A$30,$G$86*(AH35/(1+$F$86))-(-AH124/2),0)</f>
        <v>0</v>
      </c>
      <c r="AI86" s="223">
        <f>IF(Предпосылки!$C$16=справочник!$A$30,$G$86*(AI35/(1+$F$86))-(-AI124/2),0)</f>
        <v>0</v>
      </c>
      <c r="AJ86" s="223">
        <f>IF(Предпосылки!$C$16=справочник!$A$30,$G$86*(AJ35/(1+$F$86))-(-AJ124/2),0)</f>
        <v>0</v>
      </c>
      <c r="AK86" s="223">
        <f>IF(Предпосылки!$C$16=справочник!$A$30,$G$86*(AK35/(1+$F$86))-(-AK124/2),0)</f>
        <v>0</v>
      </c>
      <c r="AL86" s="223">
        <f>IF(Предпосылки!$C$16=справочник!$A$30,$G$86*(AL35/(1+$F$86))-(-AL124/2),0)</f>
        <v>0</v>
      </c>
      <c r="AM86" s="223">
        <f>IF(Предпосылки!$C$16=справочник!$A$30,$G$86*(AM35/(1+$F$86))-(-AM124/2),0)</f>
        <v>0</v>
      </c>
      <c r="AN86" s="223">
        <f>IF(Предпосылки!$C$16=справочник!$A$30,$G$86*(AN35/(1+$F$86))-(-AN124/2),0)</f>
        <v>0</v>
      </c>
      <c r="AO86" s="223">
        <f>IF(Предпосылки!$C$16=справочник!$A$30,$G$86*(AO35/(1+$F$86))-(-AO124/2),0)</f>
        <v>0</v>
      </c>
      <c r="AP86" s="60"/>
      <c r="AQ86" s="60"/>
      <c r="AR86" s="60"/>
      <c r="AS86" s="60"/>
      <c r="AT86" s="60"/>
    </row>
    <row r="87" spans="5:46" ht="20.25" customHeight="1" outlineLevel="1">
      <c r="F87" s="212">
        <v>0.2</v>
      </c>
      <c r="G87" s="212">
        <v>0.06</v>
      </c>
      <c r="H87" s="203" t="s">
        <v>534</v>
      </c>
      <c r="I87" s="204"/>
      <c r="J87" s="205"/>
      <c r="K87" s="205"/>
      <c r="L87" s="223">
        <f>IF(Предпосылки!$C$16=справочник!$A$31,$G$87*(L35/(1+$F$87))-(-L124/2),0)</f>
        <v>0</v>
      </c>
      <c r="M87" s="223">
        <f>IF(Предпосылки!$C$16=справочник!$A$31,$G$87*(M35/(1+$F$87))-(-M124/2),0)</f>
        <v>0</v>
      </c>
      <c r="N87" s="223">
        <f>IF(Предпосылки!$C$16=справочник!$A$31,$G$87*(N35/(1+$F$87))-(-N124/2),0)</f>
        <v>0</v>
      </c>
      <c r="O87" s="223">
        <f>IF(Предпосылки!$C$16=справочник!$A$31,$G$87*(O35/(1+$F$87))-(-O124/2),0)</f>
        <v>0</v>
      </c>
      <c r="P87" s="223">
        <f>IF(Предпосылки!$C$16=справочник!$A$31,$G$87*(P35/(1+$F$87))-(-P124/2),0)</f>
        <v>0</v>
      </c>
      <c r="Q87" s="223">
        <f>IF(Предпосылки!$C$16=справочник!$A$31,$G$87*(Q35/(1+$F$87))-(-Q124/2),0)</f>
        <v>0</v>
      </c>
      <c r="R87" s="223">
        <f>IF(Предпосылки!$C$16=справочник!$A$31,$G$87*(R35/(1+$F$87))-(-R124/2),0)</f>
        <v>0</v>
      </c>
      <c r="S87" s="223">
        <f>IF(Предпосылки!$C$16=справочник!$A$31,$G$87*(S35/(1+$F$87))-(-S124/2),0)</f>
        <v>0</v>
      </c>
      <c r="T87" s="223">
        <f>IF(Предпосылки!$C$16=справочник!$A$31,$G$87*(T35/(1+$F$87))-(-T124/2),0)</f>
        <v>0</v>
      </c>
      <c r="U87" s="223">
        <f>IF(Предпосылки!$C$16=справочник!$A$31,$G$87*(U35/(1+$F$87))-(-U124/2),0)</f>
        <v>0</v>
      </c>
      <c r="V87" s="223">
        <f>IF(Предпосылки!$C$16=справочник!$A$31,$G$87*(V35/(1+$F$87))-(-V124/2),0)</f>
        <v>0</v>
      </c>
      <c r="W87" s="223">
        <f>IF(Предпосылки!$C$16=справочник!$A$31,$G$87*(W35/(1+$F$87))-(-W124/2),0)</f>
        <v>0</v>
      </c>
      <c r="X87" s="223">
        <f>IF(Предпосылки!$C$16=справочник!$A$31,$G$87*(X35/(1+$F$87))-(-X124/2),0)</f>
        <v>0</v>
      </c>
      <c r="Y87" s="223">
        <f>IF(Предпосылки!$C$16=справочник!$A$31,$G$87*(Y35/(1+$F$87))-(-Y124/2),0)</f>
        <v>0</v>
      </c>
      <c r="Z87" s="223">
        <f>IF(Предпосылки!$C$16=справочник!$A$31,$G$87*(Z35/(1+$F$87))-(-Z124/2),0)</f>
        <v>0</v>
      </c>
      <c r="AA87" s="223">
        <f>IF(Предпосылки!$C$16=справочник!$A$31,$G$87*(AA35/(1+$F$87))-(-AA124/2),0)</f>
        <v>0</v>
      </c>
      <c r="AB87" s="223">
        <f>IF(Предпосылки!$C$16=справочник!$A$31,$G$87*(AB35/(1+$F$87))-(-AB124/2),0)</f>
        <v>0</v>
      </c>
      <c r="AC87" s="223">
        <f>IF(Предпосылки!$C$16=справочник!$A$31,$G$87*(AC35/(1+$F$87))-(-AC124/2),0)</f>
        <v>0</v>
      </c>
      <c r="AD87" s="223">
        <f>IF(Предпосылки!$C$16=справочник!$A$31,$G$87*(AD35/(1+$F$87))-(-AD124/2),0)</f>
        <v>0</v>
      </c>
      <c r="AE87" s="223">
        <f>IF(Предпосылки!$C$16=справочник!$A$31,$G$87*(AE35/(1+$F$87))-(-AE124/2),0)</f>
        <v>0</v>
      </c>
      <c r="AF87" s="223">
        <f>IF(Предпосылки!$C$16=справочник!$A$31,$G$87*(AF35/(1+$F$87))-(-AF124/2),0)</f>
        <v>0</v>
      </c>
      <c r="AG87" s="223">
        <f>IF(Предпосылки!$C$16=справочник!$A$31,$G$87*(AG35/(1+$F$87))-(-AG124/2),0)</f>
        <v>0</v>
      </c>
      <c r="AH87" s="223">
        <f>IF(Предпосылки!$C$16=справочник!$A$31,$G$87*(AH35/(1+$F$87))-(-AH124/2),0)</f>
        <v>0</v>
      </c>
      <c r="AI87" s="223">
        <f>IF(Предпосылки!$C$16=справочник!$A$31,$G$87*(AI35/(1+$F$87))-(-AI124/2),0)</f>
        <v>0</v>
      </c>
      <c r="AJ87" s="223">
        <f>IF(Предпосылки!$C$16=справочник!$A$31,$G$87*(AJ35/(1+$F$87))-(-AJ124/2),0)</f>
        <v>0</v>
      </c>
      <c r="AK87" s="223">
        <f>IF(Предпосылки!$C$16=справочник!$A$31,$G$87*(AK35/(1+$F$87))-(-AK124/2),0)</f>
        <v>0</v>
      </c>
      <c r="AL87" s="223">
        <f>IF(Предпосылки!$C$16=справочник!$A$31,$G$87*(AL35/(1+$F$87))-(-AL124/2),0)</f>
        <v>0</v>
      </c>
      <c r="AM87" s="223">
        <f>IF(Предпосылки!$C$16=справочник!$A$31,$G$87*(AM35/(1+$F$87))-(-AM124/2),0)</f>
        <v>0</v>
      </c>
      <c r="AN87" s="223">
        <f>IF(Предпосылки!$C$16=справочник!$A$31,$G$87*(AN35/(1+$F$87))-(-AN124/2),0)</f>
        <v>0</v>
      </c>
      <c r="AO87" s="223">
        <f>IF(Предпосылки!$C$16=справочник!$A$31,$G$87*(AO35/(1+$F$87))-(-AO124/2),0)</f>
        <v>0</v>
      </c>
      <c r="AP87" s="60"/>
      <c r="AQ87" s="60"/>
      <c r="AR87" s="60"/>
      <c r="AS87" s="60"/>
      <c r="AT87" s="60"/>
    </row>
    <row r="88" spans="5:46" ht="20.25" customHeight="1" outlineLevel="1">
      <c r="E88" s="212">
        <v>0.01</v>
      </c>
      <c r="F88" s="212"/>
      <c r="G88" s="212">
        <v>0.15</v>
      </c>
      <c r="H88" s="203" t="s">
        <v>122</v>
      </c>
      <c r="I88" s="204"/>
      <c r="J88" s="205"/>
      <c r="K88" s="205"/>
      <c r="L88" s="223">
        <f>IF(Предпосылки!$C$16=справочник!$A$32,IF(L96&lt;0,L35*$E$88,L93*$G$88),0)</f>
        <v>0</v>
      </c>
      <c r="M88" s="223">
        <f>IF(Предпосылки!$C$16=справочник!$A$32,IF(M96&lt;0,M35*$E$88,M93*$G$88),0)</f>
        <v>0</v>
      </c>
      <c r="N88" s="223">
        <f>IF(Предпосылки!$C$16=справочник!$A$32,IF(N96&lt;0,N35*$E$88,N93*$G$88),0)</f>
        <v>0</v>
      </c>
      <c r="O88" s="223">
        <f>IF(Предпосылки!$C$16=справочник!$A$32,IF(O96&lt;0,O35*$E$88,O93*$G$88),0)</f>
        <v>0</v>
      </c>
      <c r="P88" s="223">
        <f>IF(Предпосылки!$C$16=справочник!$A$32,IF(P96&lt;0,P35*$E$88,P93*$G$88),0)</f>
        <v>0</v>
      </c>
      <c r="Q88" s="223">
        <f>IF(Предпосылки!$C$16=справочник!$A$32,IF(Q96&lt;0,Q35*$E$88,Q93*$G$88),0)</f>
        <v>0</v>
      </c>
      <c r="R88" s="223">
        <f>IF(Предпосылки!$C$16=справочник!$A$32,IF(R96&lt;0,R35*$E$88,R93*$G$88),0)</f>
        <v>0</v>
      </c>
      <c r="S88" s="223">
        <f>IF(Предпосылки!$C$16=справочник!$A$32,IF(S96&lt;0,S35*$E$88,S93*$G$88),0)</f>
        <v>0</v>
      </c>
      <c r="T88" s="223">
        <f>IF(Предпосылки!$C$16=справочник!$A$32,IF(T96&lt;0,T35*$E$88,T93*$G$88),0)</f>
        <v>0</v>
      </c>
      <c r="U88" s="223">
        <f>IF(Предпосылки!$C$16=справочник!$A$32,IF(U96&lt;0,U35*$E$88,U93*$G$88),0)</f>
        <v>0</v>
      </c>
      <c r="V88" s="223">
        <f>IF(Предпосылки!$C$16=справочник!$A$32,IF(V96&lt;0,V35*$E$88,V93*$G$88),0)</f>
        <v>0</v>
      </c>
      <c r="W88" s="223">
        <f>IF(Предпосылки!$C$16=справочник!$A$32,IF(W96&lt;0,W35*$E$88,W93*$G$88),0)</f>
        <v>0</v>
      </c>
      <c r="X88" s="223">
        <f>IF(Предпосылки!$C$16=справочник!$A$32,IF(X96&lt;0,X35*$E$88,X93*$G$88),0)</f>
        <v>0</v>
      </c>
      <c r="Y88" s="223">
        <f>IF(Предпосылки!$C$16=справочник!$A$32,IF(Y96&lt;0,Y35*$E$88,Y93*$G$88),0)</f>
        <v>0</v>
      </c>
      <c r="Z88" s="223">
        <f>IF(Предпосылки!$C$16=справочник!$A$32,IF(Z96&lt;0,Z35*$E$88,Z93*$G$88),0)</f>
        <v>0</v>
      </c>
      <c r="AA88" s="223">
        <f>IF(Предпосылки!$C$16=справочник!$A$32,IF(AA96&lt;0,AA35*$E$88,AA93*$G$88),0)</f>
        <v>0</v>
      </c>
      <c r="AB88" s="223">
        <f>IF(Предпосылки!$C$16=справочник!$A$32,IF(AB96&lt;0,AB35*$E$88,AB93*$G$88),0)</f>
        <v>0</v>
      </c>
      <c r="AC88" s="223">
        <f>IF(Предпосылки!$C$16=справочник!$A$32,IF(AC96&lt;0,AC35*$E$88,AC93*$G$88),0)</f>
        <v>0</v>
      </c>
      <c r="AD88" s="223">
        <f>IF(Предпосылки!$C$16=справочник!$A$32,IF(AD96&lt;0,AD35*$E$88,AD93*$G$88),0)</f>
        <v>0</v>
      </c>
      <c r="AE88" s="223">
        <f>IF(Предпосылки!$C$16=справочник!$A$32,IF(AE96&lt;0,AE35*$E$88,AE93*$G$88),0)</f>
        <v>0</v>
      </c>
      <c r="AF88" s="223">
        <f>IF(Предпосылки!$C$16=справочник!$A$32,IF(AF96&lt;0,AF35*$E$88,AF93*$G$88),0)</f>
        <v>0</v>
      </c>
      <c r="AG88" s="223">
        <f>IF(Предпосылки!$C$16=справочник!$A$32,IF(AG96&lt;0,AG35*$E$88,AG93*$G$88),0)</f>
        <v>0</v>
      </c>
      <c r="AH88" s="223">
        <f>IF(Предпосылки!$C$16=справочник!$A$32,IF(AH96&lt;0,AH35*$E$88,AH93*$G$88),0)</f>
        <v>0</v>
      </c>
      <c r="AI88" s="223">
        <f>IF(Предпосылки!$C$16=справочник!$A$32,IF(AI96&lt;0,AI35*$E$88,AI93*$G$88),0)</f>
        <v>0</v>
      </c>
      <c r="AJ88" s="223">
        <f>IF(Предпосылки!$C$16=справочник!$A$32,IF(AJ96&lt;0,AJ35*$E$88,AJ93*$G$88),0)</f>
        <v>0</v>
      </c>
      <c r="AK88" s="223">
        <f>IF(Предпосылки!$C$16=справочник!$A$32,IF(AK96&lt;0,AK35*$E$88,AK93*$G$88),0)</f>
        <v>0</v>
      </c>
      <c r="AL88" s="223">
        <f>IF(Предпосылки!$C$16=справочник!$A$32,IF(AL96&lt;0,AL35*$E$88,AL93*$G$88),0)</f>
        <v>0</v>
      </c>
      <c r="AM88" s="223">
        <f>IF(Предпосылки!$C$16=справочник!$A$32,IF(AM96&lt;0,AM35*$E$88,AM93*$G$88),0)</f>
        <v>0</v>
      </c>
      <c r="AN88" s="223">
        <f>IF(Предпосылки!$C$16=справочник!$A$32,IF(AN96&lt;0,AN35*$E$88,AN93*$G$88),0)</f>
        <v>0</v>
      </c>
      <c r="AO88" s="223">
        <f>IF(Предпосылки!$C$16=справочник!$A$32,IF(AO96&lt;0,AO35*$E$88,AO93*$G$88),0)</f>
        <v>0</v>
      </c>
      <c r="AP88" s="60"/>
      <c r="AQ88" s="60"/>
      <c r="AR88" s="60"/>
      <c r="AS88" s="60"/>
      <c r="AT88" s="60"/>
    </row>
    <row r="89" spans="5:46" ht="20.25" customHeight="1" outlineLevel="1">
      <c r="E89" s="212">
        <v>0.01</v>
      </c>
      <c r="F89" s="212"/>
      <c r="G89" s="212">
        <v>0.15</v>
      </c>
      <c r="H89" s="203" t="s">
        <v>123</v>
      </c>
      <c r="I89" s="204"/>
      <c r="J89" s="205"/>
      <c r="K89" s="205"/>
      <c r="L89" s="223">
        <f>IF(Предпосылки!$C$16=справочник!$A$33,IF(L96&lt;0,L35*$E$89,L93*$G$89),0)</f>
        <v>0</v>
      </c>
      <c r="M89" s="223">
        <f>IF(Предпосылки!$C$16=справочник!$A$33,IF(M96&lt;0,M35*$E$89,M93*$G$89),0)</f>
        <v>0</v>
      </c>
      <c r="N89" s="223">
        <f>IF(Предпосылки!$C$16=справочник!$A$33,IF(N96&lt;0,N35*$E$89,N93*$G$89),0)</f>
        <v>0</v>
      </c>
      <c r="O89" s="223">
        <f>IF(Предпосылки!$C$16=справочник!$A$33,IF(O96&lt;0,O35*$E$89,O93*$G$89),0)</f>
        <v>0</v>
      </c>
      <c r="P89" s="223">
        <f>IF(Предпосылки!$C$16=справочник!$A$33,IF(P96&lt;0,P35*$E$89,P93*$G$89),0)</f>
        <v>0</v>
      </c>
      <c r="Q89" s="223">
        <f>IF(Предпосылки!$C$16=справочник!$A$33,IF(Q96&lt;0,Q35*$E$89,Q93*$G$89),0)</f>
        <v>0</v>
      </c>
      <c r="R89" s="223">
        <f>IF(Предпосылки!$C$16=справочник!$A$33,IF(R96&lt;0,R35*$E$89,R93*$G$89),0)</f>
        <v>0</v>
      </c>
      <c r="S89" s="223">
        <f>IF(Предпосылки!$C$16=справочник!$A$33,IF(S96&lt;0,S35*$E$89,S93*$G$89),0)</f>
        <v>0</v>
      </c>
      <c r="T89" s="223">
        <f>IF(Предпосылки!$C$16=справочник!$A$33,IF(T96&lt;0,T35*$E$89,T93*$G$89),0)</f>
        <v>0</v>
      </c>
      <c r="U89" s="223">
        <f>IF(Предпосылки!$C$16=справочник!$A$33,IF(U96&lt;0,U35*$E$89,U93*$G$89),0)</f>
        <v>0</v>
      </c>
      <c r="V89" s="223">
        <f>IF(Предпосылки!$C$16=справочник!$A$33,IF(V96&lt;0,V35*$E$89,V93*$G$89),0)</f>
        <v>0</v>
      </c>
      <c r="W89" s="223">
        <f>IF(Предпосылки!$C$16=справочник!$A$33,IF(W96&lt;0,W35*$E$89,W93*$G$89),0)</f>
        <v>0</v>
      </c>
      <c r="X89" s="223">
        <f>IF(Предпосылки!$C$16=справочник!$A$33,IF(X96&lt;0,X35*$E$89,X93*$G$89),0)</f>
        <v>0</v>
      </c>
      <c r="Y89" s="223">
        <f>IF(Предпосылки!$C$16=справочник!$A$33,IF(Y96&lt;0,Y35*$E$89,Y93*$G$89),0)</f>
        <v>0</v>
      </c>
      <c r="Z89" s="223">
        <f>IF(Предпосылки!$C$16=справочник!$A$33,IF(Z96&lt;0,Z35*$E$89,Z93*$G$89),0)</f>
        <v>0</v>
      </c>
      <c r="AA89" s="223">
        <f>IF(Предпосылки!$C$16=справочник!$A$33,IF(AA96&lt;0,AA35*$E$89,AA93*$G$89),0)</f>
        <v>0</v>
      </c>
      <c r="AB89" s="223">
        <f>IF(Предпосылки!$C$16=справочник!$A$33,IF(AB96&lt;0,AB35*$E$89,AB93*$G$89),0)</f>
        <v>0</v>
      </c>
      <c r="AC89" s="223">
        <f>IF(Предпосылки!$C$16=справочник!$A$33,IF(AC96&lt;0,AC35*$E$89,AC93*$G$89),0)</f>
        <v>0</v>
      </c>
      <c r="AD89" s="223">
        <f>IF(Предпосылки!$C$16=справочник!$A$33,IF(AD96&lt;0,AD35*$E$89,AD93*$G$89),0)</f>
        <v>0</v>
      </c>
      <c r="AE89" s="223">
        <f>IF(Предпосылки!$C$16=справочник!$A$33,IF(AE96&lt;0,AE35*$E$89,AE93*$G$89),0)</f>
        <v>0</v>
      </c>
      <c r="AF89" s="223">
        <f>IF(Предпосылки!$C$16=справочник!$A$33,IF(AF96&lt;0,AF35*$E$89,AF93*$G$89),0)</f>
        <v>0</v>
      </c>
      <c r="AG89" s="223">
        <f>IF(Предпосылки!$C$16=справочник!$A$33,IF(AG96&lt;0,AG35*$E$89,AG93*$G$89),0)</f>
        <v>0</v>
      </c>
      <c r="AH89" s="223">
        <f>IF(Предпосылки!$C$16=справочник!$A$33,IF(AH96&lt;0,AH35*$E$89,AH93*$G$89),0)</f>
        <v>0</v>
      </c>
      <c r="AI89" s="223">
        <f>IF(Предпосылки!$C$16=справочник!$A$33,IF(AI96&lt;0,AI35*$E$89,AI93*$G$89),0)</f>
        <v>0</v>
      </c>
      <c r="AJ89" s="223">
        <f>IF(Предпосылки!$C$16=справочник!$A$33,IF(AJ96&lt;0,AJ35*$E$89,AJ93*$G$89),0)</f>
        <v>0</v>
      </c>
      <c r="AK89" s="223">
        <f>IF(Предпосылки!$C$16=справочник!$A$33,IF(AK96&lt;0,AK35*$E$89,AK93*$G$89),0)</f>
        <v>0</v>
      </c>
      <c r="AL89" s="223">
        <f>IF(Предпосылки!$C$16=справочник!$A$33,IF(AL96&lt;0,AL35*$E$89,AL93*$G$89),0)</f>
        <v>0</v>
      </c>
      <c r="AM89" s="223">
        <f>IF(Предпосылки!$C$16=справочник!$A$33,IF(AM96&lt;0,AM35*$E$89,AM93*$G$89),0)</f>
        <v>0</v>
      </c>
      <c r="AN89" s="223">
        <f>IF(Предпосылки!$C$16=справочник!$A$33,IF(AN96&lt;0,AN35*$E$89,AN93*$G$89),0)</f>
        <v>0</v>
      </c>
      <c r="AO89" s="223">
        <f>IF(Предпосылки!$C$16=справочник!$A$33,IF(AO96&lt;0,AO35*$E$89,AO93*$G$89),0)</f>
        <v>0</v>
      </c>
      <c r="AP89" s="60"/>
      <c r="AQ89" s="60"/>
      <c r="AR89" s="60"/>
      <c r="AS89" s="60"/>
      <c r="AT89" s="60"/>
    </row>
    <row r="90" spans="5:46" ht="20.25" customHeight="1" outlineLevel="1">
      <c r="E90" s="212">
        <v>0.01</v>
      </c>
      <c r="F90" s="212"/>
      <c r="G90" s="212">
        <v>0.15</v>
      </c>
      <c r="H90" s="203" t="s">
        <v>124</v>
      </c>
      <c r="I90" s="204"/>
      <c r="J90" s="205"/>
      <c r="K90" s="205"/>
      <c r="L90" s="223">
        <f>IF(Предпосылки!$C$16=справочник!$A$34,IF(L96&lt;0,L35*$E$90,L93*$G$90),0)</f>
        <v>0</v>
      </c>
      <c r="M90" s="223">
        <f>IF(Предпосылки!$C$16=справочник!$A$34,IF(M96&lt;0,M35*$E$90,M93*$G$90),0)</f>
        <v>0</v>
      </c>
      <c r="N90" s="223">
        <f>IF(Предпосылки!$C$16=справочник!$A$34,IF(N96&lt;0,N35*$E$90,N93*$G$90),0)</f>
        <v>0</v>
      </c>
      <c r="O90" s="223">
        <f>IF(Предпосылки!$C$16=справочник!$A$34,IF(O96&lt;0,O35*$E$90,O93*$G$90),0)</f>
        <v>0</v>
      </c>
      <c r="P90" s="223">
        <f>IF(Предпосылки!$C$16=справочник!$A$34,IF(P96&lt;0,P35*$E$90,P93*$G$90),0)</f>
        <v>0</v>
      </c>
      <c r="Q90" s="223">
        <f>IF(Предпосылки!$C$16=справочник!$A$34,IF(Q96&lt;0,Q35*$E$90,Q93*$G$90),0)</f>
        <v>0</v>
      </c>
      <c r="R90" s="223">
        <f>IF(Предпосылки!$C$16=справочник!$A$34,IF(R96&lt;0,R35*$E$90,R93*$G$90),0)</f>
        <v>0</v>
      </c>
      <c r="S90" s="223">
        <f>IF(Предпосылки!$C$16=справочник!$A$34,IF(S96&lt;0,S35*$E$90,S93*$G$90),0)</f>
        <v>0</v>
      </c>
      <c r="T90" s="223">
        <f>IF(Предпосылки!$C$16=справочник!$A$34,IF(T96&lt;0,T35*$E$90,T93*$G$90),0)</f>
        <v>0</v>
      </c>
      <c r="U90" s="223">
        <f>IF(Предпосылки!$C$16=справочник!$A$34,IF(U96&lt;0,U35*$E$90,U93*$G$90),0)</f>
        <v>0</v>
      </c>
      <c r="V90" s="223">
        <f>IF(Предпосылки!$C$16=справочник!$A$34,IF(V96&lt;0,V35*$E$90,V93*$G$90),0)</f>
        <v>0</v>
      </c>
      <c r="W90" s="223">
        <f>IF(Предпосылки!$C$16=справочник!$A$34,IF(W96&lt;0,W35*$E$90,W93*$G$90),0)</f>
        <v>0</v>
      </c>
      <c r="X90" s="223">
        <f>IF(Предпосылки!$C$16=справочник!$A$34,IF(X96&lt;0,X35*$E$90,X93*$G$90),0)</f>
        <v>0</v>
      </c>
      <c r="Y90" s="223">
        <f>IF(Предпосылки!$C$16=справочник!$A$34,IF(Y96&lt;0,Y35*$E$90,Y93*$G$90),0)</f>
        <v>0</v>
      </c>
      <c r="Z90" s="223">
        <f>IF(Предпосылки!$C$16=справочник!$A$34,IF(Z96&lt;0,Z35*$E$90,Z93*$G$90),0)</f>
        <v>0</v>
      </c>
      <c r="AA90" s="223">
        <f>IF(Предпосылки!$C$16=справочник!$A$34,IF(AA96&lt;0,AA35*$E$90,AA93*$G$90),0)</f>
        <v>0</v>
      </c>
      <c r="AB90" s="223">
        <f>IF(Предпосылки!$C$16=справочник!$A$34,IF(AB96&lt;0,AB35*$E$90,AB93*$G$90),0)</f>
        <v>0</v>
      </c>
      <c r="AC90" s="223">
        <f>IF(Предпосылки!$C$16=справочник!$A$34,IF(AC96&lt;0,AC35*$E$90,AC93*$G$90),0)</f>
        <v>0</v>
      </c>
      <c r="AD90" s="223">
        <f>IF(Предпосылки!$C$16=справочник!$A$34,IF(AD96&lt;0,AD35*$E$90,AD93*$G$90),0)</f>
        <v>0</v>
      </c>
      <c r="AE90" s="223">
        <f>IF(Предпосылки!$C$16=справочник!$A$34,IF(AE96&lt;0,AE35*$E$90,AE93*$G$90),0)</f>
        <v>0</v>
      </c>
      <c r="AF90" s="223">
        <f>IF(Предпосылки!$C$16=справочник!$A$34,IF(AF96&lt;0,AF35*$E$90,AF93*$G$90),0)</f>
        <v>0</v>
      </c>
      <c r="AG90" s="223">
        <f>IF(Предпосылки!$C$16=справочник!$A$34,IF(AG96&lt;0,AG35*$E$90,AG93*$G$90),0)</f>
        <v>0</v>
      </c>
      <c r="AH90" s="223">
        <f>IF(Предпосылки!$C$16=справочник!$A$34,IF(AH96&lt;0,AH35*$E$90,AH93*$G$90),0)</f>
        <v>0</v>
      </c>
      <c r="AI90" s="223">
        <f>IF(Предпосылки!$C$16=справочник!$A$34,IF(AI96&lt;0,AI35*$E$90,AI93*$G$90),0)</f>
        <v>0</v>
      </c>
      <c r="AJ90" s="223">
        <f>IF(Предпосылки!$C$16=справочник!$A$34,IF(AJ96&lt;0,AJ35*$E$90,AJ93*$G$90),0)</f>
        <v>0</v>
      </c>
      <c r="AK90" s="223">
        <f>IF(Предпосылки!$C$16=справочник!$A$34,IF(AK96&lt;0,AK35*$E$90,AK93*$G$90),0)</f>
        <v>0</v>
      </c>
      <c r="AL90" s="223">
        <f>IF(Предпосылки!$C$16=справочник!$A$34,IF(AL96&lt;0,AL35*$E$90,AL93*$G$90),0)</f>
        <v>0</v>
      </c>
      <c r="AM90" s="223">
        <f>IF(Предпосылки!$C$16=справочник!$A$34,IF(AM96&lt;0,AM35*$E$90,AM93*$G$90),0)</f>
        <v>0</v>
      </c>
      <c r="AN90" s="223">
        <f>IF(Предпосылки!$C$16=справочник!$A$34,IF(AN96&lt;0,AN35*$E$90,AN93*$G$90),0)</f>
        <v>0</v>
      </c>
      <c r="AO90" s="223">
        <f>IF(Предпосылки!$C$16=справочник!$A$34,IF(AO96&lt;0,AO35*$E$90,AO93*$G$90),0)</f>
        <v>0</v>
      </c>
      <c r="AP90" s="60"/>
      <c r="AQ90" s="60"/>
      <c r="AR90" s="60"/>
      <c r="AS90" s="60"/>
      <c r="AT90" s="60"/>
    </row>
    <row r="91" spans="5:46" ht="20.25" customHeight="1" outlineLevel="1">
      <c r="E91" s="212">
        <v>0.01</v>
      </c>
      <c r="F91" s="212"/>
      <c r="G91" s="212">
        <v>0.15</v>
      </c>
      <c r="H91" s="203" t="s">
        <v>533</v>
      </c>
      <c r="I91" s="204"/>
      <c r="J91" s="205"/>
      <c r="K91" s="205"/>
      <c r="L91" s="223">
        <f>IF(Предпосылки!$C$16=справочник!$A$35,IF(L96&lt;0,L35*$E$91,L93*$G$91),0)</f>
        <v>0</v>
      </c>
      <c r="M91" s="223">
        <f>IF(Предпосылки!$C$16=справочник!$A$35,IF(M96&lt;0,M35*$E$91,M93*$G$91),0)</f>
        <v>0</v>
      </c>
      <c r="N91" s="223">
        <f>IF(Предпосылки!$C$16=справочник!$A$35,IF(N96&lt;0,N35*$E$91,N93*$G$91),0)</f>
        <v>0</v>
      </c>
      <c r="O91" s="223">
        <f>IF(Предпосылки!$C$16=справочник!$A$35,IF(O96&lt;0,O35*$E$91,O93*$G$91),0)</f>
        <v>0</v>
      </c>
      <c r="P91" s="223">
        <f>IF(Предпосылки!$C$16=справочник!$A$35,IF(P96&lt;0,P35*$E$91,P93*$G$91),0)</f>
        <v>0</v>
      </c>
      <c r="Q91" s="223">
        <f>IF(Предпосылки!$C$16=справочник!$A$35,IF(Q96&lt;0,Q35*$E$91,Q93*$G$91),0)</f>
        <v>0</v>
      </c>
      <c r="R91" s="223">
        <f>IF(Предпосылки!$C$16=справочник!$A$35,IF(R96&lt;0,R35*$E$91,R93*$G$91),0)</f>
        <v>0</v>
      </c>
      <c r="S91" s="223">
        <f>IF(Предпосылки!$C$16=справочник!$A$35,IF(S96&lt;0,S35*$E$91,S93*$G$91),0)</f>
        <v>0</v>
      </c>
      <c r="T91" s="223">
        <f>IF(Предпосылки!$C$16=справочник!$A$35,IF(T96&lt;0,T35*$E$91,T93*$G$91),0)</f>
        <v>0</v>
      </c>
      <c r="U91" s="223">
        <f>IF(Предпосылки!$C$16=справочник!$A$35,IF(U96&lt;0,U35*$E$91,U93*$G$91),0)</f>
        <v>0</v>
      </c>
      <c r="V91" s="223">
        <f>IF(Предпосылки!$C$16=справочник!$A$35,IF(V96&lt;0,V35*$E$91,V93*$G$91),0)</f>
        <v>0</v>
      </c>
      <c r="W91" s="223">
        <f>IF(Предпосылки!$C$16=справочник!$A$35,IF(W96&lt;0,W35*$E$91,W93*$G$91),0)</f>
        <v>0</v>
      </c>
      <c r="X91" s="223">
        <f>IF(Предпосылки!$C$16=справочник!$A$35,IF(X96&lt;0,X35*$E$91,X93*$G$91),0)</f>
        <v>0</v>
      </c>
      <c r="Y91" s="223">
        <f>IF(Предпосылки!$C$16=справочник!$A$35,IF(Y96&lt;0,Y35*$E$91,Y93*$G$91),0)</f>
        <v>0</v>
      </c>
      <c r="Z91" s="223">
        <f>IF(Предпосылки!$C$16=справочник!$A$35,IF(Z96&lt;0,Z35*$E$91,Z93*$G$91),0)</f>
        <v>0</v>
      </c>
      <c r="AA91" s="223">
        <f>IF(Предпосылки!$C$16=справочник!$A$35,IF(AA96&lt;0,AA35*$E$91,AA93*$G$91),0)</f>
        <v>0</v>
      </c>
      <c r="AB91" s="223">
        <f>IF(Предпосылки!$C$16=справочник!$A$35,IF(AB96&lt;0,AB35*$E$91,AB93*$G$91),0)</f>
        <v>0</v>
      </c>
      <c r="AC91" s="223">
        <f>IF(Предпосылки!$C$16=справочник!$A$35,IF(AC96&lt;0,AC35*$E$91,AC93*$G$91),0)</f>
        <v>0</v>
      </c>
      <c r="AD91" s="223">
        <f>IF(Предпосылки!$C$16=справочник!$A$35,IF(AD96&lt;0,AD35*$E$91,AD93*$G$91),0)</f>
        <v>0</v>
      </c>
      <c r="AE91" s="223">
        <f>IF(Предпосылки!$C$16=справочник!$A$35,IF(AE96&lt;0,AE35*$E$91,AE93*$G$91),0)</f>
        <v>0</v>
      </c>
      <c r="AF91" s="223">
        <f>IF(Предпосылки!$C$16=справочник!$A$35,IF(AF96&lt;0,AF35*$E$91,AF93*$G$91),0)</f>
        <v>0</v>
      </c>
      <c r="AG91" s="223">
        <f>IF(Предпосылки!$C$16=справочник!$A$35,IF(AG96&lt;0,AG35*$E$91,AG93*$G$91),0)</f>
        <v>0</v>
      </c>
      <c r="AH91" s="223">
        <f>IF(Предпосылки!$C$16=справочник!$A$35,IF(AH96&lt;0,AH35*$E$91,AH93*$G$91),0)</f>
        <v>0</v>
      </c>
      <c r="AI91" s="223">
        <f>IF(Предпосылки!$C$16=справочник!$A$35,IF(AI96&lt;0,AI35*$E$91,AI93*$G$91),0)</f>
        <v>0</v>
      </c>
      <c r="AJ91" s="223">
        <f>IF(Предпосылки!$C$16=справочник!$A$35,IF(AJ96&lt;0,AJ35*$E$91,AJ93*$G$91),0)</f>
        <v>0</v>
      </c>
      <c r="AK91" s="223">
        <f>IF(Предпосылки!$C$16=справочник!$A$35,IF(AK96&lt;0,AK35*$E$91,AK93*$G$91),0)</f>
        <v>0</v>
      </c>
      <c r="AL91" s="223">
        <f>IF(Предпосылки!$C$16=справочник!$A$35,IF(AL96&lt;0,AL35*$E$91,AL93*$G$91),0)</f>
        <v>0</v>
      </c>
      <c r="AM91" s="223">
        <f>IF(Предпосылки!$C$16=справочник!$A$35,IF(AM96&lt;0,AM35*$E$91,AM93*$G$91),0)</f>
        <v>0</v>
      </c>
      <c r="AN91" s="223">
        <f>IF(Предпосылки!$C$16=справочник!$A$35,IF(AN96&lt;0,AN35*$E$91,AN93*$G$91),0)</f>
        <v>0</v>
      </c>
      <c r="AO91" s="223">
        <f>IF(Предпосылки!$C$16=справочник!$A$35,IF(AO96&lt;0,AO35*$E$91,AO93*$G$91),0)</f>
        <v>0</v>
      </c>
      <c r="AP91" s="60"/>
      <c r="AQ91" s="60"/>
      <c r="AR91" s="60"/>
      <c r="AS91" s="60"/>
      <c r="AT91" s="60"/>
    </row>
    <row r="92" spans="5:46" ht="9.75" customHeight="1" outlineLevel="1">
      <c r="E92" s="212"/>
      <c r="F92" s="212"/>
      <c r="G92" s="212"/>
      <c r="H92" s="203"/>
      <c r="I92" s="204"/>
      <c r="J92" s="205"/>
      <c r="K92" s="205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  <c r="AA92" s="223"/>
      <c r="AB92" s="223"/>
      <c r="AC92" s="223"/>
      <c r="AD92" s="223"/>
      <c r="AE92" s="223"/>
      <c r="AF92" s="223"/>
      <c r="AG92" s="223"/>
      <c r="AH92" s="223"/>
      <c r="AI92" s="223"/>
      <c r="AJ92" s="223"/>
      <c r="AK92" s="223"/>
      <c r="AL92" s="223"/>
      <c r="AM92" s="223"/>
      <c r="AN92" s="223"/>
      <c r="AO92" s="223"/>
      <c r="AP92" s="60"/>
      <c r="AQ92" s="60"/>
      <c r="AR92" s="60"/>
      <c r="AS92" s="60"/>
      <c r="AT92" s="60"/>
    </row>
    <row r="93" spans="5:46" ht="20.25" customHeight="1" outlineLevel="1">
      <c r="E93" s="212"/>
      <c r="G93" s="212"/>
      <c r="H93" s="203" t="s">
        <v>424</v>
      </c>
      <c r="I93" s="204"/>
      <c r="J93" s="205"/>
      <c r="K93" s="205"/>
      <c r="L93" s="223">
        <f t="shared" ref="L93:AO93" si="106">L35+L60+L74+L77+L82+L123+L124</f>
        <v>-4.68</v>
      </c>
      <c r="M93" s="223">
        <f t="shared" si="106"/>
        <v>-107.04741926229509</v>
      </c>
      <c r="N93" s="223">
        <f t="shared" si="106"/>
        <v>2566.622580737705</v>
      </c>
      <c r="O93" s="223">
        <f t="shared" si="106"/>
        <v>-946.84741926229515</v>
      </c>
      <c r="P93" s="223">
        <f t="shared" si="106"/>
        <v>-697.7774192622951</v>
      </c>
      <c r="Q93" s="223">
        <f t="shared" si="106"/>
        <v>-1357.6274192622952</v>
      </c>
      <c r="R93" s="223">
        <f t="shared" si="106"/>
        <v>-1464.0174192622949</v>
      </c>
      <c r="S93" s="223">
        <f t="shared" si="106"/>
        <v>-1491.387419262295</v>
      </c>
      <c r="T93" s="223">
        <f t="shared" si="106"/>
        <v>-1514.4474192622952</v>
      </c>
      <c r="U93" s="223">
        <f t="shared" si="106"/>
        <v>-1538.2274192622951</v>
      </c>
      <c r="V93" s="223">
        <f t="shared" si="106"/>
        <v>-1562.9874192622949</v>
      </c>
      <c r="W93" s="223">
        <f t="shared" si="106"/>
        <v>-1587.9274192622952</v>
      </c>
      <c r="X93" s="223">
        <f t="shared" si="106"/>
        <v>-1612.0574192622953</v>
      </c>
      <c r="Y93" s="223">
        <f t="shared" si="106"/>
        <v>-1637.9674192622952</v>
      </c>
      <c r="Z93" s="223">
        <f t="shared" si="106"/>
        <v>-1664.5074192622953</v>
      </c>
      <c r="AA93" s="223">
        <f t="shared" si="106"/>
        <v>-1691.2374192622954</v>
      </c>
      <c r="AB93" s="223">
        <f t="shared" si="106"/>
        <v>-1717.1674192622952</v>
      </c>
      <c r="AC93" s="223">
        <f t="shared" si="106"/>
        <v>-1744.857419262295</v>
      </c>
      <c r="AD93" s="223">
        <f t="shared" si="106"/>
        <v>-1773.3274192622953</v>
      </c>
      <c r="AE93" s="223">
        <f t="shared" si="106"/>
        <v>-1801.8374192622953</v>
      </c>
      <c r="AF93" s="223">
        <f t="shared" si="106"/>
        <v>-1829.5474192622951</v>
      </c>
      <c r="AG93" s="223">
        <f t="shared" si="106"/>
        <v>-1828.9574192622952</v>
      </c>
      <c r="AH93" s="223">
        <f t="shared" si="106"/>
        <v>-1859.0074192622951</v>
      </c>
      <c r="AI93" s="223">
        <f t="shared" si="106"/>
        <v>-1889.5574192622953</v>
      </c>
      <c r="AJ93" s="223">
        <f t="shared" si="106"/>
        <v>-1920.2474192622954</v>
      </c>
      <c r="AK93" s="223">
        <f t="shared" si="106"/>
        <v>-1951.4474192622954</v>
      </c>
      <c r="AL93" s="223">
        <f t="shared" si="106"/>
        <v>-1983.5474192622953</v>
      </c>
      <c r="AM93" s="223">
        <f t="shared" si="106"/>
        <v>-2016.1474192622952</v>
      </c>
      <c r="AN93" s="223">
        <f t="shared" si="106"/>
        <v>-2048.627419262295</v>
      </c>
      <c r="AO93" s="223">
        <f t="shared" si="106"/>
        <v>-76.967419262295095</v>
      </c>
      <c r="AP93" s="60"/>
      <c r="AQ93" s="60"/>
      <c r="AR93" s="60"/>
      <c r="AS93" s="60"/>
      <c r="AT93" s="60"/>
    </row>
    <row r="94" spans="5:46" ht="20.25" customHeight="1" outlineLevel="1">
      <c r="E94" s="212"/>
      <c r="G94" s="212"/>
      <c r="H94" s="203" t="s">
        <v>425</v>
      </c>
      <c r="I94" s="204"/>
      <c r="J94" s="205"/>
      <c r="K94" s="205"/>
      <c r="L94" s="223">
        <f t="shared" ref="L94:AO94" si="107">L133+L36</f>
        <v>-9854.82</v>
      </c>
      <c r="M94" s="223">
        <f t="shared" si="107"/>
        <v>-13963.43</v>
      </c>
      <c r="N94" s="223">
        <f t="shared" si="107"/>
        <v>-5742.57</v>
      </c>
      <c r="O94" s="223">
        <f t="shared" si="107"/>
        <v>4178.688000000001</v>
      </c>
      <c r="P94" s="223">
        <f t="shared" si="107"/>
        <v>0</v>
      </c>
      <c r="Q94" s="223">
        <f t="shared" si="107"/>
        <v>0</v>
      </c>
      <c r="R94" s="223">
        <f t="shared" si="107"/>
        <v>0</v>
      </c>
      <c r="S94" s="223">
        <f t="shared" si="107"/>
        <v>0</v>
      </c>
      <c r="T94" s="223">
        <f t="shared" si="107"/>
        <v>0</v>
      </c>
      <c r="U94" s="223">
        <f t="shared" si="107"/>
        <v>0</v>
      </c>
      <c r="V94" s="223">
        <f t="shared" si="107"/>
        <v>0</v>
      </c>
      <c r="W94" s="223">
        <f t="shared" si="107"/>
        <v>0</v>
      </c>
      <c r="X94" s="223">
        <f t="shared" si="107"/>
        <v>0</v>
      </c>
      <c r="Y94" s="223">
        <f t="shared" si="107"/>
        <v>0</v>
      </c>
      <c r="Z94" s="223">
        <f t="shared" si="107"/>
        <v>0</v>
      </c>
      <c r="AA94" s="223">
        <f t="shared" si="107"/>
        <v>0</v>
      </c>
      <c r="AB94" s="223">
        <f t="shared" si="107"/>
        <v>0</v>
      </c>
      <c r="AC94" s="223">
        <f t="shared" si="107"/>
        <v>0</v>
      </c>
      <c r="AD94" s="223">
        <f t="shared" si="107"/>
        <v>0</v>
      </c>
      <c r="AE94" s="223">
        <f t="shared" si="107"/>
        <v>0</v>
      </c>
      <c r="AF94" s="223">
        <f t="shared" si="107"/>
        <v>0</v>
      </c>
      <c r="AG94" s="223">
        <f t="shared" si="107"/>
        <v>0</v>
      </c>
      <c r="AH94" s="223">
        <f t="shared" si="107"/>
        <v>0</v>
      </c>
      <c r="AI94" s="223">
        <f t="shared" si="107"/>
        <v>0</v>
      </c>
      <c r="AJ94" s="223">
        <f t="shared" si="107"/>
        <v>0</v>
      </c>
      <c r="AK94" s="223">
        <f t="shared" si="107"/>
        <v>0</v>
      </c>
      <c r="AL94" s="223">
        <f t="shared" si="107"/>
        <v>0</v>
      </c>
      <c r="AM94" s="223">
        <f t="shared" si="107"/>
        <v>0</v>
      </c>
      <c r="AN94" s="223">
        <f t="shared" si="107"/>
        <v>0</v>
      </c>
      <c r="AO94" s="223">
        <f t="shared" si="107"/>
        <v>0</v>
      </c>
      <c r="AP94" s="60"/>
      <c r="AQ94" s="60"/>
      <c r="AR94" s="60"/>
      <c r="AS94" s="60"/>
      <c r="AT94" s="60"/>
    </row>
    <row r="95" spans="5:46" ht="20.25" customHeight="1" outlineLevel="1">
      <c r="E95" s="212"/>
      <c r="G95" s="212"/>
      <c r="H95" s="203" t="s">
        <v>426</v>
      </c>
      <c r="I95" s="204"/>
      <c r="J95" s="205"/>
      <c r="K95" s="205"/>
      <c r="L95" s="223">
        <f>L93+L94</f>
        <v>-9859.5</v>
      </c>
      <c r="M95" s="223">
        <f t="shared" ref="M95:X95" si="108">M93+M94</f>
        <v>-14070.477419262295</v>
      </c>
      <c r="N95" s="223">
        <f t="shared" si="108"/>
        <v>-3175.9474192622947</v>
      </c>
      <c r="O95" s="223">
        <f t="shared" si="108"/>
        <v>3231.8405807377057</v>
      </c>
      <c r="P95" s="223">
        <f t="shared" si="108"/>
        <v>-697.7774192622951</v>
      </c>
      <c r="Q95" s="223">
        <f t="shared" si="108"/>
        <v>-1357.6274192622952</v>
      </c>
      <c r="R95" s="223">
        <f t="shared" si="108"/>
        <v>-1464.0174192622949</v>
      </c>
      <c r="S95" s="223">
        <f t="shared" si="108"/>
        <v>-1491.387419262295</v>
      </c>
      <c r="T95" s="223">
        <f t="shared" si="108"/>
        <v>-1514.4474192622952</v>
      </c>
      <c r="U95" s="223">
        <f t="shared" si="108"/>
        <v>-1538.2274192622951</v>
      </c>
      <c r="V95" s="223">
        <f t="shared" si="108"/>
        <v>-1562.9874192622949</v>
      </c>
      <c r="W95" s="223">
        <f t="shared" si="108"/>
        <v>-1587.9274192622952</v>
      </c>
      <c r="X95" s="223">
        <f t="shared" si="108"/>
        <v>-1612.0574192622953</v>
      </c>
      <c r="Y95" s="223">
        <f t="shared" ref="Y95" si="109">Y93+Y94</f>
        <v>-1637.9674192622952</v>
      </c>
      <c r="Z95" s="223">
        <f t="shared" ref="Z95" si="110">Z93+Z94</f>
        <v>-1664.5074192622953</v>
      </c>
      <c r="AA95" s="223">
        <f t="shared" ref="AA95" si="111">AA93+AA94</f>
        <v>-1691.2374192622954</v>
      </c>
      <c r="AB95" s="223">
        <f t="shared" ref="AB95" si="112">AB93+AB94</f>
        <v>-1717.1674192622952</v>
      </c>
      <c r="AC95" s="223">
        <f t="shared" ref="AC95" si="113">AC93+AC94</f>
        <v>-1744.857419262295</v>
      </c>
      <c r="AD95" s="223">
        <f t="shared" ref="AD95" si="114">AD93+AD94</f>
        <v>-1773.3274192622953</v>
      </c>
      <c r="AE95" s="223">
        <f t="shared" ref="AE95" si="115">AE93+AE94</f>
        <v>-1801.8374192622953</v>
      </c>
      <c r="AF95" s="223">
        <f t="shared" ref="AF95" si="116">AF93+AF94</f>
        <v>-1829.5474192622951</v>
      </c>
      <c r="AG95" s="223">
        <f t="shared" ref="AG95" si="117">AG93+AG94</f>
        <v>-1828.9574192622952</v>
      </c>
      <c r="AH95" s="223">
        <f t="shared" ref="AH95" si="118">AH93+AH94</f>
        <v>-1859.0074192622951</v>
      </c>
      <c r="AI95" s="223">
        <f t="shared" ref="AI95" si="119">AI93+AI94</f>
        <v>-1889.5574192622953</v>
      </c>
      <c r="AJ95" s="223">
        <f t="shared" ref="AJ95" si="120">AJ93+AJ94</f>
        <v>-1920.2474192622954</v>
      </c>
      <c r="AK95" s="223">
        <f t="shared" ref="AK95" si="121">AK93+AK94</f>
        <v>-1951.4474192622954</v>
      </c>
      <c r="AL95" s="223">
        <f t="shared" ref="AL95" si="122">AL93+AL94</f>
        <v>-1983.5474192622953</v>
      </c>
      <c r="AM95" s="223">
        <f t="shared" ref="AM95" si="123">AM93+AM94</f>
        <v>-2016.1474192622952</v>
      </c>
      <c r="AN95" s="223">
        <f t="shared" ref="AN95" si="124">AN93+AN94</f>
        <v>-2048.627419262295</v>
      </c>
      <c r="AO95" s="223">
        <f t="shared" ref="AO95" si="125">AO93+AO94</f>
        <v>-76.967419262295095</v>
      </c>
      <c r="AP95" s="60"/>
      <c r="AQ95" s="60"/>
      <c r="AR95" s="60"/>
      <c r="AS95" s="60"/>
      <c r="AT95" s="60"/>
    </row>
    <row r="96" spans="5:46" ht="20.25" customHeight="1" outlineLevel="1">
      <c r="E96" s="212"/>
      <c r="G96" s="212"/>
      <c r="H96" s="203" t="s">
        <v>427</v>
      </c>
      <c r="I96" s="204"/>
      <c r="J96" s="205"/>
      <c r="K96" s="205"/>
      <c r="L96" s="223">
        <f>L95</f>
        <v>-9859.5</v>
      </c>
      <c r="M96" s="223">
        <f>L96+M95</f>
        <v>-23929.977419262294</v>
      </c>
      <c r="N96" s="223">
        <f t="shared" ref="N96:X96" si="126">M96+N95</f>
        <v>-27105.924838524588</v>
      </c>
      <c r="O96" s="223">
        <f t="shared" si="126"/>
        <v>-23874.084257786883</v>
      </c>
      <c r="P96" s="223">
        <f t="shared" si="126"/>
        <v>-24571.861677049179</v>
      </c>
      <c r="Q96" s="223">
        <f t="shared" si="126"/>
        <v>-25929.489096311474</v>
      </c>
      <c r="R96" s="223">
        <f t="shared" si="126"/>
        <v>-27393.506515573768</v>
      </c>
      <c r="S96" s="223">
        <f t="shared" si="126"/>
        <v>-28884.893934836062</v>
      </c>
      <c r="T96" s="223">
        <f t="shared" si="126"/>
        <v>-30399.341354098357</v>
      </c>
      <c r="U96" s="223">
        <f t="shared" si="126"/>
        <v>-31937.56877336065</v>
      </c>
      <c r="V96" s="223">
        <f t="shared" si="126"/>
        <v>-33500.556192622942</v>
      </c>
      <c r="W96" s="223">
        <f t="shared" si="126"/>
        <v>-35088.48361188524</v>
      </c>
      <c r="X96" s="223">
        <f t="shared" si="126"/>
        <v>-36700.541031147535</v>
      </c>
      <c r="Y96" s="223">
        <f t="shared" ref="Y96" si="127">X96+Y95</f>
        <v>-38338.508450409834</v>
      </c>
      <c r="Z96" s="223">
        <f t="shared" ref="Z96" si="128">Y96+Z95</f>
        <v>-40003.015869672126</v>
      </c>
      <c r="AA96" s="223">
        <f t="shared" ref="AA96" si="129">Z96+AA95</f>
        <v>-41694.253288934422</v>
      </c>
      <c r="AB96" s="223">
        <f t="shared" ref="AB96" si="130">AA96+AB95</f>
        <v>-43411.420708196718</v>
      </c>
      <c r="AC96" s="223">
        <f t="shared" ref="AC96" si="131">AB96+AC95</f>
        <v>-45156.278127459016</v>
      </c>
      <c r="AD96" s="223">
        <f t="shared" ref="AD96" si="132">AC96+AD95</f>
        <v>-46929.605546721308</v>
      </c>
      <c r="AE96" s="223">
        <f t="shared" ref="AE96" si="133">AD96+AE95</f>
        <v>-48731.442965983602</v>
      </c>
      <c r="AF96" s="223">
        <f t="shared" ref="AF96" si="134">AE96+AF95</f>
        <v>-50560.990385245896</v>
      </c>
      <c r="AG96" s="223">
        <f t="shared" ref="AG96" si="135">AF96+AG95</f>
        <v>-52389.947804508192</v>
      </c>
      <c r="AH96" s="223">
        <f t="shared" ref="AH96" si="136">AG96+AH95</f>
        <v>-54248.955223770485</v>
      </c>
      <c r="AI96" s="223">
        <f t="shared" ref="AI96" si="137">AH96+AI95</f>
        <v>-56138.51264303278</v>
      </c>
      <c r="AJ96" s="223">
        <f t="shared" ref="AJ96" si="138">AI96+AJ95</f>
        <v>-58058.760062295078</v>
      </c>
      <c r="AK96" s="223">
        <f t="shared" ref="AK96" si="139">AJ96+AK95</f>
        <v>-60010.207481557372</v>
      </c>
      <c r="AL96" s="223">
        <f t="shared" ref="AL96" si="140">AK96+AL95</f>
        <v>-61993.754900819666</v>
      </c>
      <c r="AM96" s="223">
        <f t="shared" ref="AM96" si="141">AL96+AM95</f>
        <v>-64009.902320081957</v>
      </c>
      <c r="AN96" s="223">
        <f t="shared" ref="AN96" si="142">AM96+AN95</f>
        <v>-66058.52973934426</v>
      </c>
      <c r="AO96" s="223">
        <f t="shared" ref="AO96" si="143">AN96+AO95</f>
        <v>-66135.497158606551</v>
      </c>
      <c r="AP96" s="60"/>
      <c r="AQ96" s="60"/>
      <c r="AR96" s="60"/>
      <c r="AS96" s="60"/>
      <c r="AT96" s="60"/>
    </row>
    <row r="97" spans="4:46" ht="6" customHeight="1" outlineLevel="1">
      <c r="E97" s="212"/>
      <c r="G97" s="212"/>
      <c r="H97" s="203"/>
      <c r="I97" s="204"/>
      <c r="J97" s="205"/>
      <c r="K97" s="205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  <c r="AA97" s="223"/>
      <c r="AB97" s="223"/>
      <c r="AC97" s="223"/>
      <c r="AD97" s="223"/>
      <c r="AE97" s="223"/>
      <c r="AF97" s="223"/>
      <c r="AG97" s="223"/>
      <c r="AH97" s="223"/>
      <c r="AI97" s="223"/>
      <c r="AJ97" s="223"/>
      <c r="AK97" s="223"/>
      <c r="AL97" s="223"/>
      <c r="AM97" s="223"/>
      <c r="AN97" s="223"/>
      <c r="AO97" s="223"/>
      <c r="AP97" s="60"/>
      <c r="AQ97" s="60"/>
      <c r="AR97" s="60"/>
      <c r="AS97" s="60"/>
      <c r="AT97" s="60"/>
    </row>
    <row r="98" spans="4:46" ht="20.25" customHeight="1" outlineLevel="1">
      <c r="E98" s="212"/>
      <c r="G98" s="212"/>
      <c r="H98" s="203" t="s">
        <v>423</v>
      </c>
      <c r="I98" s="204"/>
      <c r="J98" s="205"/>
      <c r="K98" s="205"/>
      <c r="L98" s="223">
        <f>SUM(L99:L118)</f>
        <v>0</v>
      </c>
      <c r="M98" s="223">
        <f t="shared" ref="M98:AO98" si="144">SUM(M99:M118)</f>
        <v>1749.2188934426231</v>
      </c>
      <c r="N98" s="223">
        <f t="shared" si="144"/>
        <v>1749.2188934426231</v>
      </c>
      <c r="O98" s="223">
        <f t="shared" si="144"/>
        <v>1749.2188934426231</v>
      </c>
      <c r="P98" s="223">
        <f t="shared" si="144"/>
        <v>1749.2188934426231</v>
      </c>
      <c r="Q98" s="223">
        <f t="shared" si="144"/>
        <v>1749.2188934426231</v>
      </c>
      <c r="R98" s="223">
        <f t="shared" si="144"/>
        <v>1749.2188934426231</v>
      </c>
      <c r="S98" s="223">
        <f t="shared" si="144"/>
        <v>1749.2188934426231</v>
      </c>
      <c r="T98" s="223">
        <f t="shared" si="144"/>
        <v>1749.2188934426231</v>
      </c>
      <c r="U98" s="223">
        <f t="shared" si="144"/>
        <v>1749.2188934426231</v>
      </c>
      <c r="V98" s="223">
        <f t="shared" si="144"/>
        <v>1749.2188934426231</v>
      </c>
      <c r="W98" s="223">
        <f t="shared" si="144"/>
        <v>1749.2188934426231</v>
      </c>
      <c r="X98" s="223">
        <f t="shared" si="144"/>
        <v>1749.2188934426231</v>
      </c>
      <c r="Y98" s="223">
        <f t="shared" si="144"/>
        <v>1749.2188934426231</v>
      </c>
      <c r="Z98" s="223">
        <f t="shared" si="144"/>
        <v>1749.2188934426231</v>
      </c>
      <c r="AA98" s="223">
        <f t="shared" si="144"/>
        <v>1749.2188934426231</v>
      </c>
      <c r="AB98" s="223">
        <f t="shared" si="144"/>
        <v>1749.2188934426231</v>
      </c>
      <c r="AC98" s="223">
        <f t="shared" si="144"/>
        <v>1749.2188934426231</v>
      </c>
      <c r="AD98" s="223">
        <f t="shared" si="144"/>
        <v>1749.2188934426231</v>
      </c>
      <c r="AE98" s="223">
        <f t="shared" si="144"/>
        <v>1749.2188934426231</v>
      </c>
      <c r="AF98" s="223">
        <f t="shared" si="144"/>
        <v>1749.2188934426231</v>
      </c>
      <c r="AG98" s="223">
        <f t="shared" si="144"/>
        <v>0</v>
      </c>
      <c r="AH98" s="223">
        <f t="shared" si="144"/>
        <v>0</v>
      </c>
      <c r="AI98" s="223">
        <f t="shared" si="144"/>
        <v>0</v>
      </c>
      <c r="AJ98" s="223">
        <f t="shared" si="144"/>
        <v>0</v>
      </c>
      <c r="AK98" s="223">
        <f t="shared" si="144"/>
        <v>0</v>
      </c>
      <c r="AL98" s="223">
        <f t="shared" si="144"/>
        <v>0</v>
      </c>
      <c r="AM98" s="223">
        <f t="shared" si="144"/>
        <v>0</v>
      </c>
      <c r="AN98" s="223">
        <f t="shared" si="144"/>
        <v>0</v>
      </c>
      <c r="AO98" s="223">
        <f t="shared" si="144"/>
        <v>0</v>
      </c>
      <c r="AP98" s="60"/>
      <c r="AQ98" s="60"/>
      <c r="AR98" s="60"/>
      <c r="AS98" s="60"/>
      <c r="AT98" s="60"/>
    </row>
    <row r="99" spans="4:46" ht="20.25" customHeight="1" outlineLevel="1">
      <c r="D99" s="1">
        <f>IF(E99=0,0,F99/E99)</f>
        <v>19.999999999999996</v>
      </c>
      <c r="E99" s="1">
        <f>F99*Предпосылки!I23/4</f>
        <v>699.70381147541002</v>
      </c>
      <c r="F99" s="1">
        <f>Предпосылки!L56/(1+Предпосылки!F23)</f>
        <v>13994.076229508199</v>
      </c>
      <c r="G99" s="140">
        <f>G37</f>
        <v>2</v>
      </c>
      <c r="H99" s="203" t="str">
        <f>H37</f>
        <v>Оборудование 1</v>
      </c>
      <c r="I99" s="204"/>
      <c r="J99" s="205"/>
      <c r="K99" s="205"/>
      <c r="L99" s="223">
        <f>IF(AND(L10&gt;=$G$99,L10&lt;($G$99+$D$99)),$E$99,0)</f>
        <v>0</v>
      </c>
      <c r="M99" s="223">
        <f t="shared" ref="M99:AO99" si="145">IF(AND(M10&gt;=$G$99,M10&lt;($G$99+$D$99)),$E$99,0)</f>
        <v>699.70381147541002</v>
      </c>
      <c r="N99" s="223">
        <f t="shared" si="145"/>
        <v>699.70381147541002</v>
      </c>
      <c r="O99" s="223">
        <f t="shared" si="145"/>
        <v>699.70381147541002</v>
      </c>
      <c r="P99" s="223">
        <f t="shared" si="145"/>
        <v>699.70381147541002</v>
      </c>
      <c r="Q99" s="223">
        <f t="shared" si="145"/>
        <v>699.70381147541002</v>
      </c>
      <c r="R99" s="223">
        <f t="shared" si="145"/>
        <v>699.70381147541002</v>
      </c>
      <c r="S99" s="223">
        <f t="shared" si="145"/>
        <v>699.70381147541002</v>
      </c>
      <c r="T99" s="223">
        <f t="shared" si="145"/>
        <v>699.70381147541002</v>
      </c>
      <c r="U99" s="223">
        <f t="shared" si="145"/>
        <v>699.70381147541002</v>
      </c>
      <c r="V99" s="223">
        <f t="shared" si="145"/>
        <v>699.70381147541002</v>
      </c>
      <c r="W99" s="223">
        <f t="shared" si="145"/>
        <v>699.70381147541002</v>
      </c>
      <c r="X99" s="223">
        <f t="shared" si="145"/>
        <v>699.70381147541002</v>
      </c>
      <c r="Y99" s="223">
        <f t="shared" si="145"/>
        <v>699.70381147541002</v>
      </c>
      <c r="Z99" s="223">
        <f t="shared" si="145"/>
        <v>699.70381147541002</v>
      </c>
      <c r="AA99" s="223">
        <f t="shared" si="145"/>
        <v>699.70381147541002</v>
      </c>
      <c r="AB99" s="223">
        <f t="shared" si="145"/>
        <v>699.70381147541002</v>
      </c>
      <c r="AC99" s="223">
        <f t="shared" si="145"/>
        <v>699.70381147541002</v>
      </c>
      <c r="AD99" s="223">
        <f t="shared" si="145"/>
        <v>699.70381147541002</v>
      </c>
      <c r="AE99" s="223">
        <f t="shared" si="145"/>
        <v>699.70381147541002</v>
      </c>
      <c r="AF99" s="223">
        <f t="shared" si="145"/>
        <v>699.70381147541002</v>
      </c>
      <c r="AG99" s="223">
        <f t="shared" si="145"/>
        <v>0</v>
      </c>
      <c r="AH99" s="223">
        <f t="shared" si="145"/>
        <v>0</v>
      </c>
      <c r="AI99" s="223">
        <f t="shared" si="145"/>
        <v>0</v>
      </c>
      <c r="AJ99" s="223">
        <f t="shared" si="145"/>
        <v>0</v>
      </c>
      <c r="AK99" s="223">
        <f t="shared" si="145"/>
        <v>0</v>
      </c>
      <c r="AL99" s="223">
        <f t="shared" si="145"/>
        <v>0</v>
      </c>
      <c r="AM99" s="223">
        <f t="shared" si="145"/>
        <v>0</v>
      </c>
      <c r="AN99" s="223">
        <f t="shared" si="145"/>
        <v>0</v>
      </c>
      <c r="AO99" s="223">
        <f t="shared" si="145"/>
        <v>0</v>
      </c>
      <c r="AP99" s="60"/>
      <c r="AQ99" s="60"/>
      <c r="AR99" s="60"/>
      <c r="AS99" s="60"/>
      <c r="AT99" s="60"/>
    </row>
    <row r="100" spans="4:46" ht="20.25" customHeight="1" outlineLevel="1">
      <c r="D100" s="1">
        <f t="shared" ref="D100:D118" si="146">IF(E100=0,0,F100/E100)</f>
        <v>19.999999999999996</v>
      </c>
      <c r="E100" s="1">
        <f>F100*Предпосылки!I24/4</f>
        <v>68.319672131147556</v>
      </c>
      <c r="F100" s="1">
        <f>Предпосылки!L57/(1+Предпосылки!F24)</f>
        <v>1366.3934426229509</v>
      </c>
      <c r="G100" s="140">
        <f t="shared" ref="G100:G118" si="147">G38</f>
        <v>2</v>
      </c>
      <c r="H100" s="203" t="str">
        <f t="shared" ref="H100:H118" si="148">H38</f>
        <v>Оборудование 2</v>
      </c>
      <c r="I100" s="204"/>
      <c r="J100" s="205"/>
      <c r="K100" s="205"/>
      <c r="L100" s="223">
        <f>IF(AND(L$10&gt;=$G100,L$10&lt;($G100+$D100)),$E100,0)</f>
        <v>0</v>
      </c>
      <c r="M100" s="223">
        <f t="shared" ref="M100:AO109" si="149">IF(AND(M$10&gt;=$G100,M$10&lt;($G100+$D100)),$E100,0)</f>
        <v>68.319672131147556</v>
      </c>
      <c r="N100" s="223">
        <f t="shared" si="149"/>
        <v>68.319672131147556</v>
      </c>
      <c r="O100" s="223">
        <f t="shared" si="149"/>
        <v>68.319672131147556</v>
      </c>
      <c r="P100" s="223">
        <f t="shared" si="149"/>
        <v>68.319672131147556</v>
      </c>
      <c r="Q100" s="223">
        <f t="shared" si="149"/>
        <v>68.319672131147556</v>
      </c>
      <c r="R100" s="223">
        <f t="shared" si="149"/>
        <v>68.319672131147556</v>
      </c>
      <c r="S100" s="223">
        <f t="shared" si="149"/>
        <v>68.319672131147556</v>
      </c>
      <c r="T100" s="223">
        <f t="shared" si="149"/>
        <v>68.319672131147556</v>
      </c>
      <c r="U100" s="223">
        <f t="shared" si="149"/>
        <v>68.319672131147556</v>
      </c>
      <c r="V100" s="223">
        <f t="shared" si="149"/>
        <v>68.319672131147556</v>
      </c>
      <c r="W100" s="223">
        <f t="shared" si="149"/>
        <v>68.319672131147556</v>
      </c>
      <c r="X100" s="223">
        <f t="shared" si="149"/>
        <v>68.319672131147556</v>
      </c>
      <c r="Y100" s="223">
        <f t="shared" si="149"/>
        <v>68.319672131147556</v>
      </c>
      <c r="Z100" s="223">
        <f t="shared" si="149"/>
        <v>68.319672131147556</v>
      </c>
      <c r="AA100" s="223">
        <f t="shared" si="149"/>
        <v>68.319672131147556</v>
      </c>
      <c r="AB100" s="223">
        <f t="shared" si="149"/>
        <v>68.319672131147556</v>
      </c>
      <c r="AC100" s="223">
        <f t="shared" si="149"/>
        <v>68.319672131147556</v>
      </c>
      <c r="AD100" s="223">
        <f t="shared" si="149"/>
        <v>68.319672131147556</v>
      </c>
      <c r="AE100" s="223">
        <f t="shared" si="149"/>
        <v>68.319672131147556</v>
      </c>
      <c r="AF100" s="223">
        <f t="shared" si="149"/>
        <v>68.319672131147556</v>
      </c>
      <c r="AG100" s="223">
        <f t="shared" si="149"/>
        <v>0</v>
      </c>
      <c r="AH100" s="223">
        <f t="shared" si="149"/>
        <v>0</v>
      </c>
      <c r="AI100" s="223">
        <f t="shared" si="149"/>
        <v>0</v>
      </c>
      <c r="AJ100" s="223">
        <f t="shared" si="149"/>
        <v>0</v>
      </c>
      <c r="AK100" s="223">
        <f t="shared" si="149"/>
        <v>0</v>
      </c>
      <c r="AL100" s="223">
        <f t="shared" si="149"/>
        <v>0</v>
      </c>
      <c r="AM100" s="223">
        <f t="shared" si="149"/>
        <v>0</v>
      </c>
      <c r="AN100" s="223">
        <f t="shared" si="149"/>
        <v>0</v>
      </c>
      <c r="AO100" s="223">
        <f t="shared" si="149"/>
        <v>0</v>
      </c>
      <c r="AP100" s="60"/>
      <c r="AQ100" s="60"/>
      <c r="AR100" s="60"/>
      <c r="AS100" s="60"/>
      <c r="AT100" s="60"/>
    </row>
    <row r="101" spans="4:46" ht="20.25" customHeight="1" outlineLevel="1">
      <c r="D101" s="1">
        <f t="shared" si="146"/>
        <v>20</v>
      </c>
      <c r="E101" s="1">
        <f>F101*Предпосылки!I25/4</f>
        <v>93.23770491803279</v>
      </c>
      <c r="F101" s="1">
        <f>Предпосылки!L58/(1+Предпосылки!F25)</f>
        <v>1864.7540983606557</v>
      </c>
      <c r="G101" s="140">
        <f t="shared" si="147"/>
        <v>2</v>
      </c>
      <c r="H101" s="203" t="str">
        <f t="shared" si="148"/>
        <v>Оборудование 3</v>
      </c>
      <c r="I101" s="204"/>
      <c r="J101" s="205"/>
      <c r="K101" s="205"/>
      <c r="L101" s="223">
        <f t="shared" ref="L101:AA117" si="150">IF(AND(L$10&gt;=$G101,L$10&lt;($G101+$D101)),$E101,0)</f>
        <v>0</v>
      </c>
      <c r="M101" s="223">
        <f t="shared" si="150"/>
        <v>93.23770491803279</v>
      </c>
      <c r="N101" s="223">
        <f t="shared" si="150"/>
        <v>93.23770491803279</v>
      </c>
      <c r="O101" s="223">
        <f t="shared" si="150"/>
        <v>93.23770491803279</v>
      </c>
      <c r="P101" s="223">
        <f t="shared" si="150"/>
        <v>93.23770491803279</v>
      </c>
      <c r="Q101" s="223">
        <f t="shared" si="150"/>
        <v>93.23770491803279</v>
      </c>
      <c r="R101" s="223">
        <f t="shared" si="150"/>
        <v>93.23770491803279</v>
      </c>
      <c r="S101" s="223">
        <f t="shared" si="150"/>
        <v>93.23770491803279</v>
      </c>
      <c r="T101" s="223">
        <f t="shared" si="150"/>
        <v>93.23770491803279</v>
      </c>
      <c r="U101" s="223">
        <f t="shared" si="150"/>
        <v>93.23770491803279</v>
      </c>
      <c r="V101" s="223">
        <f t="shared" si="150"/>
        <v>93.23770491803279</v>
      </c>
      <c r="W101" s="223">
        <f t="shared" si="150"/>
        <v>93.23770491803279</v>
      </c>
      <c r="X101" s="223">
        <f t="shared" si="150"/>
        <v>93.23770491803279</v>
      </c>
      <c r="Y101" s="223">
        <f t="shared" si="150"/>
        <v>93.23770491803279</v>
      </c>
      <c r="Z101" s="223">
        <f t="shared" si="150"/>
        <v>93.23770491803279</v>
      </c>
      <c r="AA101" s="223">
        <f t="shared" si="150"/>
        <v>93.23770491803279</v>
      </c>
      <c r="AB101" s="223">
        <f t="shared" si="149"/>
        <v>93.23770491803279</v>
      </c>
      <c r="AC101" s="223">
        <f t="shared" si="149"/>
        <v>93.23770491803279</v>
      </c>
      <c r="AD101" s="223">
        <f t="shared" si="149"/>
        <v>93.23770491803279</v>
      </c>
      <c r="AE101" s="223">
        <f t="shared" si="149"/>
        <v>93.23770491803279</v>
      </c>
      <c r="AF101" s="223">
        <f t="shared" si="149"/>
        <v>93.23770491803279</v>
      </c>
      <c r="AG101" s="223">
        <f t="shared" si="149"/>
        <v>0</v>
      </c>
      <c r="AH101" s="223">
        <f t="shared" si="149"/>
        <v>0</v>
      </c>
      <c r="AI101" s="223">
        <f t="shared" si="149"/>
        <v>0</v>
      </c>
      <c r="AJ101" s="223">
        <f t="shared" si="149"/>
        <v>0</v>
      </c>
      <c r="AK101" s="223">
        <f t="shared" si="149"/>
        <v>0</v>
      </c>
      <c r="AL101" s="223">
        <f t="shared" si="149"/>
        <v>0</v>
      </c>
      <c r="AM101" s="223">
        <f t="shared" si="149"/>
        <v>0</v>
      </c>
      <c r="AN101" s="223">
        <f t="shared" si="149"/>
        <v>0</v>
      </c>
      <c r="AO101" s="223">
        <f t="shared" si="149"/>
        <v>0</v>
      </c>
      <c r="AP101" s="60"/>
      <c r="AQ101" s="60"/>
      <c r="AR101" s="60"/>
      <c r="AS101" s="60"/>
      <c r="AT101" s="60"/>
    </row>
    <row r="102" spans="4:46" ht="20.25" customHeight="1" outlineLevel="1">
      <c r="D102" s="1">
        <f t="shared" si="146"/>
        <v>20</v>
      </c>
      <c r="E102" s="1">
        <f>F102*Предпосылки!I26/4</f>
        <v>73.770491803278688</v>
      </c>
      <c r="F102" s="1">
        <f>Предпосылки!L59/(1+Предпосылки!F26)</f>
        <v>1475.4098360655737</v>
      </c>
      <c r="G102" s="140">
        <f t="shared" si="147"/>
        <v>2</v>
      </c>
      <c r="H102" s="203" t="str">
        <f t="shared" si="148"/>
        <v>Оборудование 4</v>
      </c>
      <c r="I102" s="204"/>
      <c r="J102" s="205"/>
      <c r="K102" s="205"/>
      <c r="L102" s="223">
        <f t="shared" si="150"/>
        <v>0</v>
      </c>
      <c r="M102" s="223">
        <f t="shared" si="149"/>
        <v>73.770491803278688</v>
      </c>
      <c r="N102" s="223">
        <f t="shared" si="149"/>
        <v>73.770491803278688</v>
      </c>
      <c r="O102" s="223">
        <f t="shared" si="149"/>
        <v>73.770491803278688</v>
      </c>
      <c r="P102" s="223">
        <f t="shared" si="149"/>
        <v>73.770491803278688</v>
      </c>
      <c r="Q102" s="223">
        <f t="shared" si="149"/>
        <v>73.770491803278688</v>
      </c>
      <c r="R102" s="223">
        <f t="shared" si="149"/>
        <v>73.770491803278688</v>
      </c>
      <c r="S102" s="223">
        <f t="shared" si="149"/>
        <v>73.770491803278688</v>
      </c>
      <c r="T102" s="223">
        <f t="shared" si="149"/>
        <v>73.770491803278688</v>
      </c>
      <c r="U102" s="223">
        <f t="shared" si="149"/>
        <v>73.770491803278688</v>
      </c>
      <c r="V102" s="223">
        <f t="shared" si="149"/>
        <v>73.770491803278688</v>
      </c>
      <c r="W102" s="223">
        <f t="shared" si="149"/>
        <v>73.770491803278688</v>
      </c>
      <c r="X102" s="223">
        <f t="shared" si="149"/>
        <v>73.770491803278688</v>
      </c>
      <c r="Y102" s="223">
        <f t="shared" si="149"/>
        <v>73.770491803278688</v>
      </c>
      <c r="Z102" s="223">
        <f t="shared" si="149"/>
        <v>73.770491803278688</v>
      </c>
      <c r="AA102" s="223">
        <f t="shared" si="149"/>
        <v>73.770491803278688</v>
      </c>
      <c r="AB102" s="223">
        <f t="shared" si="149"/>
        <v>73.770491803278688</v>
      </c>
      <c r="AC102" s="223">
        <f t="shared" si="149"/>
        <v>73.770491803278688</v>
      </c>
      <c r="AD102" s="223">
        <f t="shared" si="149"/>
        <v>73.770491803278688</v>
      </c>
      <c r="AE102" s="223">
        <f t="shared" si="149"/>
        <v>73.770491803278688</v>
      </c>
      <c r="AF102" s="223">
        <f t="shared" si="149"/>
        <v>73.770491803278688</v>
      </c>
      <c r="AG102" s="223">
        <f t="shared" si="149"/>
        <v>0</v>
      </c>
      <c r="AH102" s="223">
        <f t="shared" si="149"/>
        <v>0</v>
      </c>
      <c r="AI102" s="223">
        <f t="shared" si="149"/>
        <v>0</v>
      </c>
      <c r="AJ102" s="223">
        <f t="shared" si="149"/>
        <v>0</v>
      </c>
      <c r="AK102" s="223">
        <f t="shared" si="149"/>
        <v>0</v>
      </c>
      <c r="AL102" s="223">
        <f t="shared" si="149"/>
        <v>0</v>
      </c>
      <c r="AM102" s="223">
        <f t="shared" si="149"/>
        <v>0</v>
      </c>
      <c r="AN102" s="223">
        <f t="shared" si="149"/>
        <v>0</v>
      </c>
      <c r="AO102" s="223">
        <f t="shared" si="149"/>
        <v>0</v>
      </c>
      <c r="AP102" s="60"/>
      <c r="AQ102" s="60"/>
      <c r="AR102" s="60"/>
      <c r="AS102" s="60"/>
      <c r="AT102" s="60"/>
    </row>
    <row r="103" spans="4:46" ht="20.25" customHeight="1" outlineLevel="1">
      <c r="D103" s="1">
        <f t="shared" si="146"/>
        <v>20</v>
      </c>
      <c r="E103" s="1">
        <f>F103*Предпосылки!I27/4</f>
        <v>733.57377049180332</v>
      </c>
      <c r="F103" s="1">
        <f>Предпосылки!L60/(1+Предпосылки!F27)</f>
        <v>14671.475409836066</v>
      </c>
      <c r="G103" s="140">
        <f t="shared" si="147"/>
        <v>2</v>
      </c>
      <c r="H103" s="203" t="str">
        <f t="shared" si="148"/>
        <v>Оборудование 5</v>
      </c>
      <c r="I103" s="204"/>
      <c r="J103" s="205"/>
      <c r="K103" s="205"/>
      <c r="L103" s="223">
        <f t="shared" si="150"/>
        <v>0</v>
      </c>
      <c r="M103" s="223">
        <f t="shared" si="149"/>
        <v>733.57377049180332</v>
      </c>
      <c r="N103" s="223">
        <f t="shared" si="149"/>
        <v>733.57377049180332</v>
      </c>
      <c r="O103" s="223">
        <f t="shared" si="149"/>
        <v>733.57377049180332</v>
      </c>
      <c r="P103" s="223">
        <f t="shared" si="149"/>
        <v>733.57377049180332</v>
      </c>
      <c r="Q103" s="223">
        <f t="shared" si="149"/>
        <v>733.57377049180332</v>
      </c>
      <c r="R103" s="223">
        <f t="shared" si="149"/>
        <v>733.57377049180332</v>
      </c>
      <c r="S103" s="223">
        <f t="shared" si="149"/>
        <v>733.57377049180332</v>
      </c>
      <c r="T103" s="223">
        <f t="shared" si="149"/>
        <v>733.57377049180332</v>
      </c>
      <c r="U103" s="223">
        <f t="shared" si="149"/>
        <v>733.57377049180332</v>
      </c>
      <c r="V103" s="223">
        <f t="shared" si="149"/>
        <v>733.57377049180332</v>
      </c>
      <c r="W103" s="223">
        <f t="shared" si="149"/>
        <v>733.57377049180332</v>
      </c>
      <c r="X103" s="223">
        <f t="shared" si="149"/>
        <v>733.57377049180332</v>
      </c>
      <c r="Y103" s="223">
        <f t="shared" si="149"/>
        <v>733.57377049180332</v>
      </c>
      <c r="Z103" s="223">
        <f t="shared" si="149"/>
        <v>733.57377049180332</v>
      </c>
      <c r="AA103" s="223">
        <f t="shared" si="149"/>
        <v>733.57377049180332</v>
      </c>
      <c r="AB103" s="223">
        <f t="shared" si="149"/>
        <v>733.57377049180332</v>
      </c>
      <c r="AC103" s="223">
        <f t="shared" si="149"/>
        <v>733.57377049180332</v>
      </c>
      <c r="AD103" s="223">
        <f t="shared" si="149"/>
        <v>733.57377049180332</v>
      </c>
      <c r="AE103" s="223">
        <f t="shared" si="149"/>
        <v>733.57377049180332</v>
      </c>
      <c r="AF103" s="223">
        <f t="shared" si="149"/>
        <v>733.57377049180332</v>
      </c>
      <c r="AG103" s="223">
        <f t="shared" si="149"/>
        <v>0</v>
      </c>
      <c r="AH103" s="223">
        <f t="shared" si="149"/>
        <v>0</v>
      </c>
      <c r="AI103" s="223">
        <f t="shared" si="149"/>
        <v>0</v>
      </c>
      <c r="AJ103" s="223">
        <f t="shared" si="149"/>
        <v>0</v>
      </c>
      <c r="AK103" s="223">
        <f t="shared" si="149"/>
        <v>0</v>
      </c>
      <c r="AL103" s="223">
        <f t="shared" si="149"/>
        <v>0</v>
      </c>
      <c r="AM103" s="223">
        <f t="shared" si="149"/>
        <v>0</v>
      </c>
      <c r="AN103" s="223">
        <f t="shared" si="149"/>
        <v>0</v>
      </c>
      <c r="AO103" s="223">
        <f t="shared" si="149"/>
        <v>0</v>
      </c>
      <c r="AP103" s="60"/>
      <c r="AQ103" s="60"/>
      <c r="AR103" s="60"/>
      <c r="AS103" s="60"/>
      <c r="AT103" s="60"/>
    </row>
    <row r="104" spans="4:46" ht="20.25" customHeight="1" outlineLevel="1">
      <c r="D104" s="1">
        <f t="shared" si="146"/>
        <v>20</v>
      </c>
      <c r="E104" s="1">
        <f>F104*Предпосылки!I28/4</f>
        <v>49.808524590163934</v>
      </c>
      <c r="F104" s="1">
        <f>Предпосылки!L61/(1+Предпосылки!F28)</f>
        <v>996.17049180327865</v>
      </c>
      <c r="G104" s="140">
        <f t="shared" si="147"/>
        <v>2</v>
      </c>
      <c r="H104" s="203" t="str">
        <f t="shared" si="148"/>
        <v>Оборудование 6</v>
      </c>
      <c r="I104" s="204"/>
      <c r="J104" s="205"/>
      <c r="K104" s="205"/>
      <c r="L104" s="223">
        <f t="shared" si="150"/>
        <v>0</v>
      </c>
      <c r="M104" s="223">
        <f t="shared" si="149"/>
        <v>49.808524590163934</v>
      </c>
      <c r="N104" s="223">
        <f t="shared" si="149"/>
        <v>49.808524590163934</v>
      </c>
      <c r="O104" s="223">
        <f t="shared" si="149"/>
        <v>49.808524590163934</v>
      </c>
      <c r="P104" s="223">
        <f t="shared" si="149"/>
        <v>49.808524590163934</v>
      </c>
      <c r="Q104" s="223">
        <f t="shared" si="149"/>
        <v>49.808524590163934</v>
      </c>
      <c r="R104" s="223">
        <f t="shared" si="149"/>
        <v>49.808524590163934</v>
      </c>
      <c r="S104" s="223">
        <f t="shared" si="149"/>
        <v>49.808524590163934</v>
      </c>
      <c r="T104" s="223">
        <f t="shared" si="149"/>
        <v>49.808524590163934</v>
      </c>
      <c r="U104" s="223">
        <f t="shared" si="149"/>
        <v>49.808524590163934</v>
      </c>
      <c r="V104" s="223">
        <f t="shared" si="149"/>
        <v>49.808524590163934</v>
      </c>
      <c r="W104" s="223">
        <f t="shared" si="149"/>
        <v>49.808524590163934</v>
      </c>
      <c r="X104" s="223">
        <f t="shared" si="149"/>
        <v>49.808524590163934</v>
      </c>
      <c r="Y104" s="223">
        <f t="shared" si="149"/>
        <v>49.808524590163934</v>
      </c>
      <c r="Z104" s="223">
        <f t="shared" si="149"/>
        <v>49.808524590163934</v>
      </c>
      <c r="AA104" s="223">
        <f t="shared" si="149"/>
        <v>49.808524590163934</v>
      </c>
      <c r="AB104" s="223">
        <f t="shared" si="149"/>
        <v>49.808524590163934</v>
      </c>
      <c r="AC104" s="223">
        <f t="shared" si="149"/>
        <v>49.808524590163934</v>
      </c>
      <c r="AD104" s="223">
        <f t="shared" si="149"/>
        <v>49.808524590163934</v>
      </c>
      <c r="AE104" s="223">
        <f t="shared" si="149"/>
        <v>49.808524590163934</v>
      </c>
      <c r="AF104" s="223">
        <f t="shared" si="149"/>
        <v>49.808524590163934</v>
      </c>
      <c r="AG104" s="223">
        <f t="shared" si="149"/>
        <v>0</v>
      </c>
      <c r="AH104" s="223">
        <f t="shared" si="149"/>
        <v>0</v>
      </c>
      <c r="AI104" s="223">
        <f t="shared" si="149"/>
        <v>0</v>
      </c>
      <c r="AJ104" s="223">
        <f t="shared" si="149"/>
        <v>0</v>
      </c>
      <c r="AK104" s="223">
        <f t="shared" si="149"/>
        <v>0</v>
      </c>
      <c r="AL104" s="223">
        <f t="shared" si="149"/>
        <v>0</v>
      </c>
      <c r="AM104" s="223">
        <f t="shared" si="149"/>
        <v>0</v>
      </c>
      <c r="AN104" s="223">
        <f t="shared" si="149"/>
        <v>0</v>
      </c>
      <c r="AO104" s="223">
        <f t="shared" si="149"/>
        <v>0</v>
      </c>
      <c r="AP104" s="60"/>
      <c r="AQ104" s="60"/>
      <c r="AR104" s="60"/>
      <c r="AS104" s="60"/>
      <c r="AT104" s="60"/>
    </row>
    <row r="105" spans="4:46" ht="20.25" customHeight="1" outlineLevel="1">
      <c r="D105" s="1">
        <f t="shared" si="146"/>
        <v>19.999999999999996</v>
      </c>
      <c r="E105" s="1">
        <f>F105*Предпосылки!I29/4</f>
        <v>5.2680327868852466</v>
      </c>
      <c r="F105" s="1">
        <f>Предпосылки!L62/(1+Предпосылки!F29)</f>
        <v>105.36065573770492</v>
      </c>
      <c r="G105" s="140">
        <f t="shared" si="147"/>
        <v>2</v>
      </c>
      <c r="H105" s="203" t="str">
        <f t="shared" si="148"/>
        <v>Оборудование 7</v>
      </c>
      <c r="I105" s="204"/>
      <c r="J105" s="205"/>
      <c r="K105" s="205"/>
      <c r="L105" s="223">
        <f t="shared" si="150"/>
        <v>0</v>
      </c>
      <c r="M105" s="223">
        <f t="shared" si="149"/>
        <v>5.2680327868852466</v>
      </c>
      <c r="N105" s="223">
        <f t="shared" si="149"/>
        <v>5.2680327868852466</v>
      </c>
      <c r="O105" s="223">
        <f t="shared" si="149"/>
        <v>5.2680327868852466</v>
      </c>
      <c r="P105" s="223">
        <f t="shared" si="149"/>
        <v>5.2680327868852466</v>
      </c>
      <c r="Q105" s="223">
        <f t="shared" si="149"/>
        <v>5.2680327868852466</v>
      </c>
      <c r="R105" s="223">
        <f t="shared" si="149"/>
        <v>5.2680327868852466</v>
      </c>
      <c r="S105" s="223">
        <f t="shared" si="149"/>
        <v>5.2680327868852466</v>
      </c>
      <c r="T105" s="223">
        <f t="shared" si="149"/>
        <v>5.2680327868852466</v>
      </c>
      <c r="U105" s="223">
        <f t="shared" si="149"/>
        <v>5.2680327868852466</v>
      </c>
      <c r="V105" s="223">
        <f t="shared" si="149"/>
        <v>5.2680327868852466</v>
      </c>
      <c r="W105" s="223">
        <f t="shared" si="149"/>
        <v>5.2680327868852466</v>
      </c>
      <c r="X105" s="223">
        <f t="shared" si="149"/>
        <v>5.2680327868852466</v>
      </c>
      <c r="Y105" s="223">
        <f t="shared" si="149"/>
        <v>5.2680327868852466</v>
      </c>
      <c r="Z105" s="223">
        <f t="shared" si="149"/>
        <v>5.2680327868852466</v>
      </c>
      <c r="AA105" s="223">
        <f t="shared" si="149"/>
        <v>5.2680327868852466</v>
      </c>
      <c r="AB105" s="223">
        <f t="shared" si="149"/>
        <v>5.2680327868852466</v>
      </c>
      <c r="AC105" s="223">
        <f t="shared" si="149"/>
        <v>5.2680327868852466</v>
      </c>
      <c r="AD105" s="223">
        <f t="shared" si="149"/>
        <v>5.2680327868852466</v>
      </c>
      <c r="AE105" s="223">
        <f t="shared" si="149"/>
        <v>5.2680327868852466</v>
      </c>
      <c r="AF105" s="223">
        <f t="shared" si="149"/>
        <v>5.2680327868852466</v>
      </c>
      <c r="AG105" s="223">
        <f t="shared" si="149"/>
        <v>0</v>
      </c>
      <c r="AH105" s="223">
        <f t="shared" si="149"/>
        <v>0</v>
      </c>
      <c r="AI105" s="223">
        <f t="shared" si="149"/>
        <v>0</v>
      </c>
      <c r="AJ105" s="223">
        <f t="shared" si="149"/>
        <v>0</v>
      </c>
      <c r="AK105" s="223">
        <f t="shared" si="149"/>
        <v>0</v>
      </c>
      <c r="AL105" s="223">
        <f t="shared" si="149"/>
        <v>0</v>
      </c>
      <c r="AM105" s="223">
        <f t="shared" si="149"/>
        <v>0</v>
      </c>
      <c r="AN105" s="223">
        <f t="shared" si="149"/>
        <v>0</v>
      </c>
      <c r="AO105" s="223">
        <f t="shared" si="149"/>
        <v>0</v>
      </c>
      <c r="AP105" s="60"/>
      <c r="AQ105" s="60"/>
      <c r="AR105" s="60"/>
      <c r="AS105" s="60"/>
      <c r="AT105" s="60"/>
    </row>
    <row r="106" spans="4:46" ht="20.25" customHeight="1" outlineLevel="1">
      <c r="D106" s="1">
        <f t="shared" si="146"/>
        <v>19.999999999999996</v>
      </c>
      <c r="E106" s="1">
        <f>F106*Предпосылки!I30/4</f>
        <v>25.536885245901644</v>
      </c>
      <c r="F106" s="1">
        <f>Предпосылки!L63/(1+Предпосылки!F30)</f>
        <v>510.73770491803282</v>
      </c>
      <c r="G106" s="140">
        <f t="shared" si="147"/>
        <v>2</v>
      </c>
      <c r="H106" s="203" t="str">
        <f t="shared" si="148"/>
        <v>Оборудование 8</v>
      </c>
      <c r="I106" s="204"/>
      <c r="J106" s="205"/>
      <c r="K106" s="205"/>
      <c r="L106" s="223">
        <f t="shared" si="150"/>
        <v>0</v>
      </c>
      <c r="M106" s="223">
        <f t="shared" si="149"/>
        <v>25.536885245901644</v>
      </c>
      <c r="N106" s="223">
        <f t="shared" si="149"/>
        <v>25.536885245901644</v>
      </c>
      <c r="O106" s="223">
        <f t="shared" si="149"/>
        <v>25.536885245901644</v>
      </c>
      <c r="P106" s="223">
        <f t="shared" si="149"/>
        <v>25.536885245901644</v>
      </c>
      <c r="Q106" s="223">
        <f t="shared" si="149"/>
        <v>25.536885245901644</v>
      </c>
      <c r="R106" s="223">
        <f t="shared" si="149"/>
        <v>25.536885245901644</v>
      </c>
      <c r="S106" s="223">
        <f t="shared" si="149"/>
        <v>25.536885245901644</v>
      </c>
      <c r="T106" s="223">
        <f t="shared" si="149"/>
        <v>25.536885245901644</v>
      </c>
      <c r="U106" s="223">
        <f t="shared" si="149"/>
        <v>25.536885245901644</v>
      </c>
      <c r="V106" s="223">
        <f t="shared" si="149"/>
        <v>25.536885245901644</v>
      </c>
      <c r="W106" s="223">
        <f t="shared" si="149"/>
        <v>25.536885245901644</v>
      </c>
      <c r="X106" s="223">
        <f t="shared" si="149"/>
        <v>25.536885245901644</v>
      </c>
      <c r="Y106" s="223">
        <f t="shared" si="149"/>
        <v>25.536885245901644</v>
      </c>
      <c r="Z106" s="223">
        <f t="shared" si="149"/>
        <v>25.536885245901644</v>
      </c>
      <c r="AA106" s="223">
        <f t="shared" si="149"/>
        <v>25.536885245901644</v>
      </c>
      <c r="AB106" s="223">
        <f t="shared" si="149"/>
        <v>25.536885245901644</v>
      </c>
      <c r="AC106" s="223">
        <f t="shared" si="149"/>
        <v>25.536885245901644</v>
      </c>
      <c r="AD106" s="223">
        <f t="shared" si="149"/>
        <v>25.536885245901644</v>
      </c>
      <c r="AE106" s="223">
        <f t="shared" si="149"/>
        <v>25.536885245901644</v>
      </c>
      <c r="AF106" s="223">
        <f t="shared" si="149"/>
        <v>25.536885245901644</v>
      </c>
      <c r="AG106" s="223">
        <f t="shared" si="149"/>
        <v>0</v>
      </c>
      <c r="AH106" s="223">
        <f t="shared" si="149"/>
        <v>0</v>
      </c>
      <c r="AI106" s="223">
        <f t="shared" si="149"/>
        <v>0</v>
      </c>
      <c r="AJ106" s="223">
        <f t="shared" si="149"/>
        <v>0</v>
      </c>
      <c r="AK106" s="223">
        <f t="shared" si="149"/>
        <v>0</v>
      </c>
      <c r="AL106" s="223">
        <f t="shared" si="149"/>
        <v>0</v>
      </c>
      <c r="AM106" s="223">
        <f t="shared" si="149"/>
        <v>0</v>
      </c>
      <c r="AN106" s="223">
        <f t="shared" si="149"/>
        <v>0</v>
      </c>
      <c r="AO106" s="223">
        <f t="shared" si="149"/>
        <v>0</v>
      </c>
      <c r="AP106" s="60"/>
      <c r="AQ106" s="60"/>
      <c r="AR106" s="60"/>
      <c r="AS106" s="60"/>
      <c r="AT106" s="60"/>
    </row>
    <row r="107" spans="4:46" ht="20.25" customHeight="1" outlineLevel="1">
      <c r="D107" s="1">
        <f t="shared" si="146"/>
        <v>0</v>
      </c>
      <c r="E107" s="1">
        <f>F107*Предпосылки!I31/4</f>
        <v>0</v>
      </c>
      <c r="F107" s="1">
        <f>Предпосылки!L64/(1+Предпосылки!F31)</f>
        <v>0</v>
      </c>
      <c r="G107" s="140">
        <f t="shared" si="147"/>
        <v>0</v>
      </c>
      <c r="H107" s="203" t="str">
        <f t="shared" si="148"/>
        <v>Оборудование 9</v>
      </c>
      <c r="I107" s="204"/>
      <c r="J107" s="205"/>
      <c r="K107" s="205"/>
      <c r="L107" s="223">
        <f t="shared" si="150"/>
        <v>0</v>
      </c>
      <c r="M107" s="223">
        <f t="shared" si="149"/>
        <v>0</v>
      </c>
      <c r="N107" s="223">
        <f t="shared" si="149"/>
        <v>0</v>
      </c>
      <c r="O107" s="223">
        <f t="shared" si="149"/>
        <v>0</v>
      </c>
      <c r="P107" s="223">
        <f t="shared" si="149"/>
        <v>0</v>
      </c>
      <c r="Q107" s="223">
        <f t="shared" si="149"/>
        <v>0</v>
      </c>
      <c r="R107" s="223">
        <f t="shared" si="149"/>
        <v>0</v>
      </c>
      <c r="S107" s="223">
        <f t="shared" si="149"/>
        <v>0</v>
      </c>
      <c r="T107" s="223">
        <f t="shared" si="149"/>
        <v>0</v>
      </c>
      <c r="U107" s="223">
        <f t="shared" si="149"/>
        <v>0</v>
      </c>
      <c r="V107" s="223">
        <f t="shared" si="149"/>
        <v>0</v>
      </c>
      <c r="W107" s="223">
        <f t="shared" si="149"/>
        <v>0</v>
      </c>
      <c r="X107" s="223">
        <f t="shared" si="149"/>
        <v>0</v>
      </c>
      <c r="Y107" s="223">
        <f t="shared" si="149"/>
        <v>0</v>
      </c>
      <c r="Z107" s="223">
        <f t="shared" si="149"/>
        <v>0</v>
      </c>
      <c r="AA107" s="223">
        <f t="shared" si="149"/>
        <v>0</v>
      </c>
      <c r="AB107" s="223">
        <f t="shared" si="149"/>
        <v>0</v>
      </c>
      <c r="AC107" s="223">
        <f t="shared" si="149"/>
        <v>0</v>
      </c>
      <c r="AD107" s="223">
        <f t="shared" si="149"/>
        <v>0</v>
      </c>
      <c r="AE107" s="223">
        <f t="shared" si="149"/>
        <v>0</v>
      </c>
      <c r="AF107" s="223">
        <f t="shared" si="149"/>
        <v>0</v>
      </c>
      <c r="AG107" s="223">
        <f t="shared" si="149"/>
        <v>0</v>
      </c>
      <c r="AH107" s="223">
        <f t="shared" si="149"/>
        <v>0</v>
      </c>
      <c r="AI107" s="223">
        <f t="shared" si="149"/>
        <v>0</v>
      </c>
      <c r="AJ107" s="223">
        <f t="shared" si="149"/>
        <v>0</v>
      </c>
      <c r="AK107" s="223">
        <f t="shared" si="149"/>
        <v>0</v>
      </c>
      <c r="AL107" s="223">
        <f t="shared" si="149"/>
        <v>0</v>
      </c>
      <c r="AM107" s="223">
        <f t="shared" si="149"/>
        <v>0</v>
      </c>
      <c r="AN107" s="223">
        <f t="shared" si="149"/>
        <v>0</v>
      </c>
      <c r="AO107" s="223">
        <f t="shared" si="149"/>
        <v>0</v>
      </c>
      <c r="AP107" s="60"/>
      <c r="AQ107" s="60"/>
      <c r="AR107" s="60"/>
      <c r="AS107" s="60"/>
      <c r="AT107" s="60"/>
    </row>
    <row r="108" spans="4:46" ht="20.25" customHeight="1" outlineLevel="1">
      <c r="D108" s="1">
        <f t="shared" si="146"/>
        <v>0</v>
      </c>
      <c r="E108" s="1">
        <f>F108*Предпосылки!I32/4</f>
        <v>0</v>
      </c>
      <c r="F108" s="1">
        <f>Предпосылки!L65/(1+Предпосылки!F32)</f>
        <v>0</v>
      </c>
      <c r="G108" s="140">
        <f t="shared" si="147"/>
        <v>0</v>
      </c>
      <c r="H108" s="203" t="str">
        <f t="shared" si="148"/>
        <v>Оборудование 10</v>
      </c>
      <c r="I108" s="204"/>
      <c r="J108" s="205"/>
      <c r="K108" s="205"/>
      <c r="L108" s="223">
        <f t="shared" si="150"/>
        <v>0</v>
      </c>
      <c r="M108" s="223">
        <f t="shared" si="149"/>
        <v>0</v>
      </c>
      <c r="N108" s="223">
        <f t="shared" si="149"/>
        <v>0</v>
      </c>
      <c r="O108" s="223">
        <f t="shared" si="149"/>
        <v>0</v>
      </c>
      <c r="P108" s="223">
        <f t="shared" si="149"/>
        <v>0</v>
      </c>
      <c r="Q108" s="223">
        <f t="shared" si="149"/>
        <v>0</v>
      </c>
      <c r="R108" s="223">
        <f t="shared" si="149"/>
        <v>0</v>
      </c>
      <c r="S108" s="223">
        <f t="shared" si="149"/>
        <v>0</v>
      </c>
      <c r="T108" s="223">
        <f t="shared" si="149"/>
        <v>0</v>
      </c>
      <c r="U108" s="223">
        <f t="shared" si="149"/>
        <v>0</v>
      </c>
      <c r="V108" s="223">
        <f t="shared" si="149"/>
        <v>0</v>
      </c>
      <c r="W108" s="223">
        <f t="shared" si="149"/>
        <v>0</v>
      </c>
      <c r="X108" s="223">
        <f t="shared" si="149"/>
        <v>0</v>
      </c>
      <c r="Y108" s="223">
        <f t="shared" si="149"/>
        <v>0</v>
      </c>
      <c r="Z108" s="223">
        <f t="shared" si="149"/>
        <v>0</v>
      </c>
      <c r="AA108" s="223">
        <f t="shared" si="149"/>
        <v>0</v>
      </c>
      <c r="AB108" s="223">
        <f t="shared" si="149"/>
        <v>0</v>
      </c>
      <c r="AC108" s="223">
        <f t="shared" si="149"/>
        <v>0</v>
      </c>
      <c r="AD108" s="223">
        <f t="shared" si="149"/>
        <v>0</v>
      </c>
      <c r="AE108" s="223">
        <f t="shared" si="149"/>
        <v>0</v>
      </c>
      <c r="AF108" s="223">
        <f t="shared" si="149"/>
        <v>0</v>
      </c>
      <c r="AG108" s="223">
        <f t="shared" si="149"/>
        <v>0</v>
      </c>
      <c r="AH108" s="223">
        <f t="shared" si="149"/>
        <v>0</v>
      </c>
      <c r="AI108" s="223">
        <f t="shared" si="149"/>
        <v>0</v>
      </c>
      <c r="AJ108" s="223">
        <f t="shared" si="149"/>
        <v>0</v>
      </c>
      <c r="AK108" s="223">
        <f t="shared" si="149"/>
        <v>0</v>
      </c>
      <c r="AL108" s="223">
        <f t="shared" si="149"/>
        <v>0</v>
      </c>
      <c r="AM108" s="223">
        <f t="shared" si="149"/>
        <v>0</v>
      </c>
      <c r="AN108" s="223">
        <f t="shared" si="149"/>
        <v>0</v>
      </c>
      <c r="AO108" s="223">
        <f t="shared" si="149"/>
        <v>0</v>
      </c>
      <c r="AP108" s="60"/>
      <c r="AQ108" s="60"/>
      <c r="AR108" s="60"/>
      <c r="AS108" s="60"/>
      <c r="AT108" s="60"/>
    </row>
    <row r="109" spans="4:46" ht="20.25" customHeight="1" outlineLevel="1">
      <c r="D109" s="1">
        <f t="shared" si="146"/>
        <v>0</v>
      </c>
      <c r="E109" s="1">
        <f>F109*Предпосылки!I33/4</f>
        <v>0</v>
      </c>
      <c r="F109" s="1">
        <f>Предпосылки!L66/(1+Предпосылки!F33)</f>
        <v>0</v>
      </c>
      <c r="G109" s="140">
        <f t="shared" si="147"/>
        <v>0</v>
      </c>
      <c r="H109" s="203" t="str">
        <f t="shared" si="148"/>
        <v>Оборудование 11</v>
      </c>
      <c r="I109" s="204"/>
      <c r="J109" s="205"/>
      <c r="K109" s="205"/>
      <c r="L109" s="223">
        <f t="shared" si="150"/>
        <v>0</v>
      </c>
      <c r="M109" s="223">
        <f t="shared" si="149"/>
        <v>0</v>
      </c>
      <c r="N109" s="223">
        <f t="shared" si="149"/>
        <v>0</v>
      </c>
      <c r="O109" s="223">
        <f t="shared" si="149"/>
        <v>0</v>
      </c>
      <c r="P109" s="223">
        <f t="shared" si="149"/>
        <v>0</v>
      </c>
      <c r="Q109" s="223">
        <f t="shared" si="149"/>
        <v>0</v>
      </c>
      <c r="R109" s="223">
        <f t="shared" si="149"/>
        <v>0</v>
      </c>
      <c r="S109" s="223">
        <f t="shared" si="149"/>
        <v>0</v>
      </c>
      <c r="T109" s="223">
        <f t="shared" si="149"/>
        <v>0</v>
      </c>
      <c r="U109" s="223">
        <f t="shared" si="149"/>
        <v>0</v>
      </c>
      <c r="V109" s="223">
        <f t="shared" ref="M109:AO118" si="151">IF(AND(V$10&gt;=$G109,V$10&lt;($G109+$D109)),$E109,0)</f>
        <v>0</v>
      </c>
      <c r="W109" s="223">
        <f t="shared" si="151"/>
        <v>0</v>
      </c>
      <c r="X109" s="223">
        <f t="shared" si="151"/>
        <v>0</v>
      </c>
      <c r="Y109" s="223">
        <f t="shared" si="151"/>
        <v>0</v>
      </c>
      <c r="Z109" s="223">
        <f t="shared" si="151"/>
        <v>0</v>
      </c>
      <c r="AA109" s="223">
        <f t="shared" si="151"/>
        <v>0</v>
      </c>
      <c r="AB109" s="223">
        <f t="shared" si="151"/>
        <v>0</v>
      </c>
      <c r="AC109" s="223">
        <f t="shared" si="151"/>
        <v>0</v>
      </c>
      <c r="AD109" s="223">
        <f t="shared" si="151"/>
        <v>0</v>
      </c>
      <c r="AE109" s="223">
        <f t="shared" si="151"/>
        <v>0</v>
      </c>
      <c r="AF109" s="223">
        <f t="shared" si="151"/>
        <v>0</v>
      </c>
      <c r="AG109" s="223">
        <f t="shared" si="151"/>
        <v>0</v>
      </c>
      <c r="AH109" s="223">
        <f t="shared" si="151"/>
        <v>0</v>
      </c>
      <c r="AI109" s="223">
        <f t="shared" si="151"/>
        <v>0</v>
      </c>
      <c r="AJ109" s="223">
        <f t="shared" si="151"/>
        <v>0</v>
      </c>
      <c r="AK109" s="223">
        <f t="shared" si="151"/>
        <v>0</v>
      </c>
      <c r="AL109" s="223">
        <f t="shared" si="151"/>
        <v>0</v>
      </c>
      <c r="AM109" s="223">
        <f t="shared" si="151"/>
        <v>0</v>
      </c>
      <c r="AN109" s="223">
        <f t="shared" si="151"/>
        <v>0</v>
      </c>
      <c r="AO109" s="223">
        <f t="shared" si="151"/>
        <v>0</v>
      </c>
      <c r="AP109" s="60"/>
      <c r="AQ109" s="60"/>
      <c r="AR109" s="60"/>
      <c r="AS109" s="60"/>
      <c r="AT109" s="60"/>
    </row>
    <row r="110" spans="4:46" ht="20.25" customHeight="1" outlineLevel="1">
      <c r="D110" s="1">
        <f t="shared" si="146"/>
        <v>0</v>
      </c>
      <c r="E110" s="1">
        <f>F110*Предпосылки!I34/4</f>
        <v>0</v>
      </c>
      <c r="F110" s="1">
        <f>Предпосылки!L67/(1+Предпосылки!F34)</f>
        <v>0</v>
      </c>
      <c r="G110" s="140">
        <f t="shared" si="147"/>
        <v>0</v>
      </c>
      <c r="H110" s="203" t="str">
        <f t="shared" si="148"/>
        <v>Оборудование 12</v>
      </c>
      <c r="I110" s="204"/>
      <c r="J110" s="205"/>
      <c r="K110" s="205"/>
      <c r="L110" s="223">
        <f t="shared" si="150"/>
        <v>0</v>
      </c>
      <c r="M110" s="223">
        <f t="shared" si="151"/>
        <v>0</v>
      </c>
      <c r="N110" s="223">
        <f t="shared" si="151"/>
        <v>0</v>
      </c>
      <c r="O110" s="223">
        <f t="shared" si="151"/>
        <v>0</v>
      </c>
      <c r="P110" s="223">
        <f t="shared" si="151"/>
        <v>0</v>
      </c>
      <c r="Q110" s="223">
        <f t="shared" si="151"/>
        <v>0</v>
      </c>
      <c r="R110" s="223">
        <f t="shared" si="151"/>
        <v>0</v>
      </c>
      <c r="S110" s="223">
        <f t="shared" si="151"/>
        <v>0</v>
      </c>
      <c r="T110" s="223">
        <f t="shared" si="151"/>
        <v>0</v>
      </c>
      <c r="U110" s="223">
        <f t="shared" si="151"/>
        <v>0</v>
      </c>
      <c r="V110" s="223">
        <f t="shared" si="151"/>
        <v>0</v>
      </c>
      <c r="W110" s="223">
        <f t="shared" si="151"/>
        <v>0</v>
      </c>
      <c r="X110" s="223">
        <f t="shared" si="151"/>
        <v>0</v>
      </c>
      <c r="Y110" s="223">
        <f t="shared" si="151"/>
        <v>0</v>
      </c>
      <c r="Z110" s="223">
        <f t="shared" si="151"/>
        <v>0</v>
      </c>
      <c r="AA110" s="223">
        <f t="shared" si="151"/>
        <v>0</v>
      </c>
      <c r="AB110" s="223">
        <f t="shared" si="151"/>
        <v>0</v>
      </c>
      <c r="AC110" s="223">
        <f t="shared" si="151"/>
        <v>0</v>
      </c>
      <c r="AD110" s="223">
        <f t="shared" si="151"/>
        <v>0</v>
      </c>
      <c r="AE110" s="223">
        <f t="shared" si="151"/>
        <v>0</v>
      </c>
      <c r="AF110" s="223">
        <f t="shared" si="151"/>
        <v>0</v>
      </c>
      <c r="AG110" s="223">
        <f t="shared" si="151"/>
        <v>0</v>
      </c>
      <c r="AH110" s="223">
        <f t="shared" si="151"/>
        <v>0</v>
      </c>
      <c r="AI110" s="223">
        <f t="shared" si="151"/>
        <v>0</v>
      </c>
      <c r="AJ110" s="223">
        <f t="shared" si="151"/>
        <v>0</v>
      </c>
      <c r="AK110" s="223">
        <f t="shared" si="151"/>
        <v>0</v>
      </c>
      <c r="AL110" s="223">
        <f t="shared" si="151"/>
        <v>0</v>
      </c>
      <c r="AM110" s="223">
        <f t="shared" si="151"/>
        <v>0</v>
      </c>
      <c r="AN110" s="223">
        <f t="shared" si="151"/>
        <v>0</v>
      </c>
      <c r="AO110" s="223">
        <f t="shared" si="151"/>
        <v>0</v>
      </c>
      <c r="AP110" s="60"/>
      <c r="AQ110" s="60"/>
      <c r="AR110" s="60"/>
      <c r="AS110" s="60"/>
      <c r="AT110" s="60"/>
    </row>
    <row r="111" spans="4:46" ht="20.25" customHeight="1" outlineLevel="1">
      <c r="D111" s="1">
        <f t="shared" si="146"/>
        <v>0</v>
      </c>
      <c r="E111" s="1">
        <f>F111*Предпосылки!I35/4</f>
        <v>0</v>
      </c>
      <c r="F111" s="1">
        <f>Предпосылки!L68/(1+Предпосылки!F35)</f>
        <v>0</v>
      </c>
      <c r="G111" s="140">
        <f t="shared" si="147"/>
        <v>0</v>
      </c>
      <c r="H111" s="203" t="str">
        <f t="shared" si="148"/>
        <v>Оборудование 13</v>
      </c>
      <c r="I111" s="204"/>
      <c r="J111" s="205"/>
      <c r="K111" s="205"/>
      <c r="L111" s="223">
        <f t="shared" si="150"/>
        <v>0</v>
      </c>
      <c r="M111" s="223">
        <f t="shared" si="151"/>
        <v>0</v>
      </c>
      <c r="N111" s="223">
        <f t="shared" si="151"/>
        <v>0</v>
      </c>
      <c r="O111" s="223">
        <f t="shared" si="151"/>
        <v>0</v>
      </c>
      <c r="P111" s="223">
        <f t="shared" si="151"/>
        <v>0</v>
      </c>
      <c r="Q111" s="223">
        <f t="shared" si="151"/>
        <v>0</v>
      </c>
      <c r="R111" s="223">
        <f t="shared" si="151"/>
        <v>0</v>
      </c>
      <c r="S111" s="223">
        <f t="shared" si="151"/>
        <v>0</v>
      </c>
      <c r="T111" s="223">
        <f t="shared" si="151"/>
        <v>0</v>
      </c>
      <c r="U111" s="223">
        <f t="shared" si="151"/>
        <v>0</v>
      </c>
      <c r="V111" s="223">
        <f t="shared" si="151"/>
        <v>0</v>
      </c>
      <c r="W111" s="223">
        <f t="shared" si="151"/>
        <v>0</v>
      </c>
      <c r="X111" s="223">
        <f t="shared" si="151"/>
        <v>0</v>
      </c>
      <c r="Y111" s="223">
        <f t="shared" si="151"/>
        <v>0</v>
      </c>
      <c r="Z111" s="223">
        <f t="shared" si="151"/>
        <v>0</v>
      </c>
      <c r="AA111" s="223">
        <f t="shared" si="151"/>
        <v>0</v>
      </c>
      <c r="AB111" s="223">
        <f t="shared" si="151"/>
        <v>0</v>
      </c>
      <c r="AC111" s="223">
        <f t="shared" si="151"/>
        <v>0</v>
      </c>
      <c r="AD111" s="223">
        <f t="shared" si="151"/>
        <v>0</v>
      </c>
      <c r="AE111" s="223">
        <f t="shared" si="151"/>
        <v>0</v>
      </c>
      <c r="AF111" s="223">
        <f t="shared" si="151"/>
        <v>0</v>
      </c>
      <c r="AG111" s="223">
        <f t="shared" si="151"/>
        <v>0</v>
      </c>
      <c r="AH111" s="223">
        <f t="shared" si="151"/>
        <v>0</v>
      </c>
      <c r="AI111" s="223">
        <f t="shared" si="151"/>
        <v>0</v>
      </c>
      <c r="AJ111" s="223">
        <f t="shared" si="151"/>
        <v>0</v>
      </c>
      <c r="AK111" s="223">
        <f t="shared" si="151"/>
        <v>0</v>
      </c>
      <c r="AL111" s="223">
        <f t="shared" si="151"/>
        <v>0</v>
      </c>
      <c r="AM111" s="223">
        <f t="shared" si="151"/>
        <v>0</v>
      </c>
      <c r="AN111" s="223">
        <f t="shared" si="151"/>
        <v>0</v>
      </c>
      <c r="AO111" s="223">
        <f t="shared" si="151"/>
        <v>0</v>
      </c>
      <c r="AP111" s="60"/>
      <c r="AQ111" s="60"/>
      <c r="AR111" s="60"/>
      <c r="AS111" s="60"/>
      <c r="AT111" s="60"/>
    </row>
    <row r="112" spans="4:46" ht="20.25" customHeight="1" outlineLevel="1">
      <c r="D112" s="1">
        <f t="shared" si="146"/>
        <v>0</v>
      </c>
      <c r="E112" s="1">
        <f>F112*Предпосылки!I36/4</f>
        <v>0</v>
      </c>
      <c r="F112" s="1">
        <f>Предпосылки!L69/(1+Предпосылки!F36)</f>
        <v>0</v>
      </c>
      <c r="G112" s="140">
        <f t="shared" si="147"/>
        <v>0</v>
      </c>
      <c r="H112" s="203" t="str">
        <f t="shared" si="148"/>
        <v>Оборудование 14</v>
      </c>
      <c r="I112" s="204"/>
      <c r="J112" s="205"/>
      <c r="K112" s="205"/>
      <c r="L112" s="223">
        <f t="shared" si="150"/>
        <v>0</v>
      </c>
      <c r="M112" s="223">
        <f t="shared" si="151"/>
        <v>0</v>
      </c>
      <c r="N112" s="223">
        <f t="shared" si="151"/>
        <v>0</v>
      </c>
      <c r="O112" s="223">
        <f t="shared" si="151"/>
        <v>0</v>
      </c>
      <c r="P112" s="223">
        <f t="shared" si="151"/>
        <v>0</v>
      </c>
      <c r="Q112" s="223">
        <f t="shared" si="151"/>
        <v>0</v>
      </c>
      <c r="R112" s="223">
        <f t="shared" si="151"/>
        <v>0</v>
      </c>
      <c r="S112" s="223">
        <f t="shared" si="151"/>
        <v>0</v>
      </c>
      <c r="T112" s="223">
        <f t="shared" si="151"/>
        <v>0</v>
      </c>
      <c r="U112" s="223">
        <f t="shared" si="151"/>
        <v>0</v>
      </c>
      <c r="V112" s="223">
        <f t="shared" si="151"/>
        <v>0</v>
      </c>
      <c r="W112" s="223">
        <f t="shared" si="151"/>
        <v>0</v>
      </c>
      <c r="X112" s="223">
        <f t="shared" si="151"/>
        <v>0</v>
      </c>
      <c r="Y112" s="223">
        <f t="shared" si="151"/>
        <v>0</v>
      </c>
      <c r="Z112" s="223">
        <f t="shared" si="151"/>
        <v>0</v>
      </c>
      <c r="AA112" s="223">
        <f t="shared" si="151"/>
        <v>0</v>
      </c>
      <c r="AB112" s="223">
        <f t="shared" si="151"/>
        <v>0</v>
      </c>
      <c r="AC112" s="223">
        <f t="shared" si="151"/>
        <v>0</v>
      </c>
      <c r="AD112" s="223">
        <f t="shared" si="151"/>
        <v>0</v>
      </c>
      <c r="AE112" s="223">
        <f t="shared" si="151"/>
        <v>0</v>
      </c>
      <c r="AF112" s="223">
        <f t="shared" si="151"/>
        <v>0</v>
      </c>
      <c r="AG112" s="223">
        <f t="shared" si="151"/>
        <v>0</v>
      </c>
      <c r="AH112" s="223">
        <f t="shared" si="151"/>
        <v>0</v>
      </c>
      <c r="AI112" s="223">
        <f t="shared" si="151"/>
        <v>0</v>
      </c>
      <c r="AJ112" s="223">
        <f t="shared" si="151"/>
        <v>0</v>
      </c>
      <c r="AK112" s="223">
        <f t="shared" si="151"/>
        <v>0</v>
      </c>
      <c r="AL112" s="223">
        <f t="shared" si="151"/>
        <v>0</v>
      </c>
      <c r="AM112" s="223">
        <f t="shared" si="151"/>
        <v>0</v>
      </c>
      <c r="AN112" s="223">
        <f t="shared" si="151"/>
        <v>0</v>
      </c>
      <c r="AO112" s="223">
        <f t="shared" si="151"/>
        <v>0</v>
      </c>
      <c r="AP112" s="60"/>
      <c r="AQ112" s="60"/>
      <c r="AR112" s="60"/>
      <c r="AS112" s="60"/>
      <c r="AT112" s="60"/>
    </row>
    <row r="113" spans="4:46" ht="20.25" customHeight="1" outlineLevel="1">
      <c r="D113" s="1">
        <f t="shared" si="146"/>
        <v>0</v>
      </c>
      <c r="E113" s="1">
        <f>F113*Предпосылки!I37/4</f>
        <v>0</v>
      </c>
      <c r="F113" s="1">
        <f>Предпосылки!L70/(1+Предпосылки!F37)</f>
        <v>0</v>
      </c>
      <c r="G113" s="140">
        <f t="shared" si="147"/>
        <v>0</v>
      </c>
      <c r="H113" s="203" t="str">
        <f t="shared" si="148"/>
        <v>Оборудование 15</v>
      </c>
      <c r="I113" s="204"/>
      <c r="J113" s="205"/>
      <c r="K113" s="205"/>
      <c r="L113" s="223">
        <f t="shared" si="150"/>
        <v>0</v>
      </c>
      <c r="M113" s="223">
        <f t="shared" si="151"/>
        <v>0</v>
      </c>
      <c r="N113" s="223">
        <f t="shared" si="151"/>
        <v>0</v>
      </c>
      <c r="O113" s="223">
        <f t="shared" si="151"/>
        <v>0</v>
      </c>
      <c r="P113" s="223">
        <f t="shared" si="151"/>
        <v>0</v>
      </c>
      <c r="Q113" s="223">
        <f t="shared" si="151"/>
        <v>0</v>
      </c>
      <c r="R113" s="223">
        <f t="shared" si="151"/>
        <v>0</v>
      </c>
      <c r="S113" s="223">
        <f t="shared" si="151"/>
        <v>0</v>
      </c>
      <c r="T113" s="223">
        <f t="shared" si="151"/>
        <v>0</v>
      </c>
      <c r="U113" s="223">
        <f t="shared" si="151"/>
        <v>0</v>
      </c>
      <c r="V113" s="223">
        <f t="shared" si="151"/>
        <v>0</v>
      </c>
      <c r="W113" s="223">
        <f t="shared" si="151"/>
        <v>0</v>
      </c>
      <c r="X113" s="223">
        <f t="shared" si="151"/>
        <v>0</v>
      </c>
      <c r="Y113" s="223">
        <f t="shared" si="151"/>
        <v>0</v>
      </c>
      <c r="Z113" s="223">
        <f t="shared" si="151"/>
        <v>0</v>
      </c>
      <c r="AA113" s="223">
        <f t="shared" si="151"/>
        <v>0</v>
      </c>
      <c r="AB113" s="223">
        <f t="shared" si="151"/>
        <v>0</v>
      </c>
      <c r="AC113" s="223">
        <f t="shared" si="151"/>
        <v>0</v>
      </c>
      <c r="AD113" s="223">
        <f t="shared" si="151"/>
        <v>0</v>
      </c>
      <c r="AE113" s="223">
        <f t="shared" si="151"/>
        <v>0</v>
      </c>
      <c r="AF113" s="223">
        <f t="shared" si="151"/>
        <v>0</v>
      </c>
      <c r="AG113" s="223">
        <f t="shared" si="151"/>
        <v>0</v>
      </c>
      <c r="AH113" s="223">
        <f t="shared" si="151"/>
        <v>0</v>
      </c>
      <c r="AI113" s="223">
        <f t="shared" si="151"/>
        <v>0</v>
      </c>
      <c r="AJ113" s="223">
        <f t="shared" si="151"/>
        <v>0</v>
      </c>
      <c r="AK113" s="223">
        <f t="shared" si="151"/>
        <v>0</v>
      </c>
      <c r="AL113" s="223">
        <f t="shared" si="151"/>
        <v>0</v>
      </c>
      <c r="AM113" s="223">
        <f t="shared" si="151"/>
        <v>0</v>
      </c>
      <c r="AN113" s="223">
        <f t="shared" si="151"/>
        <v>0</v>
      </c>
      <c r="AO113" s="223">
        <f t="shared" si="151"/>
        <v>0</v>
      </c>
      <c r="AP113" s="60"/>
      <c r="AQ113" s="60"/>
      <c r="AR113" s="60"/>
      <c r="AS113" s="60"/>
      <c r="AT113" s="60"/>
    </row>
    <row r="114" spans="4:46" ht="20.25" customHeight="1" outlineLevel="1">
      <c r="D114" s="1">
        <f t="shared" si="146"/>
        <v>0</v>
      </c>
      <c r="E114" s="1">
        <f>F114*Предпосылки!I38/4</f>
        <v>0</v>
      </c>
      <c r="F114" s="1">
        <f>Предпосылки!L71/(1+Предпосылки!F38)</f>
        <v>0</v>
      </c>
      <c r="G114" s="140">
        <f t="shared" si="147"/>
        <v>0</v>
      </c>
      <c r="H114" s="203" t="str">
        <f t="shared" si="148"/>
        <v>Оборудование 16</v>
      </c>
      <c r="I114" s="204"/>
      <c r="J114" s="205"/>
      <c r="K114" s="205"/>
      <c r="L114" s="223">
        <f t="shared" si="150"/>
        <v>0</v>
      </c>
      <c r="M114" s="223">
        <f t="shared" si="151"/>
        <v>0</v>
      </c>
      <c r="N114" s="223">
        <f t="shared" si="151"/>
        <v>0</v>
      </c>
      <c r="O114" s="223">
        <f t="shared" si="151"/>
        <v>0</v>
      </c>
      <c r="P114" s="223">
        <f t="shared" si="151"/>
        <v>0</v>
      </c>
      <c r="Q114" s="223">
        <f t="shared" si="151"/>
        <v>0</v>
      </c>
      <c r="R114" s="223">
        <f t="shared" si="151"/>
        <v>0</v>
      </c>
      <c r="S114" s="223">
        <f t="shared" si="151"/>
        <v>0</v>
      </c>
      <c r="T114" s="223">
        <f t="shared" si="151"/>
        <v>0</v>
      </c>
      <c r="U114" s="223">
        <f t="shared" si="151"/>
        <v>0</v>
      </c>
      <c r="V114" s="223">
        <f t="shared" si="151"/>
        <v>0</v>
      </c>
      <c r="W114" s="223">
        <f t="shared" si="151"/>
        <v>0</v>
      </c>
      <c r="X114" s="223">
        <f t="shared" si="151"/>
        <v>0</v>
      </c>
      <c r="Y114" s="223">
        <f t="shared" si="151"/>
        <v>0</v>
      </c>
      <c r="Z114" s="223">
        <f t="shared" si="151"/>
        <v>0</v>
      </c>
      <c r="AA114" s="223">
        <f t="shared" si="151"/>
        <v>0</v>
      </c>
      <c r="AB114" s="223">
        <f t="shared" si="151"/>
        <v>0</v>
      </c>
      <c r="AC114" s="223">
        <f t="shared" si="151"/>
        <v>0</v>
      </c>
      <c r="AD114" s="223">
        <f t="shared" si="151"/>
        <v>0</v>
      </c>
      <c r="AE114" s="223">
        <f t="shared" si="151"/>
        <v>0</v>
      </c>
      <c r="AF114" s="223">
        <f t="shared" si="151"/>
        <v>0</v>
      </c>
      <c r="AG114" s="223">
        <f t="shared" si="151"/>
        <v>0</v>
      </c>
      <c r="AH114" s="223">
        <f t="shared" si="151"/>
        <v>0</v>
      </c>
      <c r="AI114" s="223">
        <f t="shared" si="151"/>
        <v>0</v>
      </c>
      <c r="AJ114" s="223">
        <f t="shared" si="151"/>
        <v>0</v>
      </c>
      <c r="AK114" s="223">
        <f t="shared" si="151"/>
        <v>0</v>
      </c>
      <c r="AL114" s="223">
        <f t="shared" si="151"/>
        <v>0</v>
      </c>
      <c r="AM114" s="223">
        <f t="shared" si="151"/>
        <v>0</v>
      </c>
      <c r="AN114" s="223">
        <f t="shared" si="151"/>
        <v>0</v>
      </c>
      <c r="AO114" s="223">
        <f t="shared" si="151"/>
        <v>0</v>
      </c>
      <c r="AP114" s="60"/>
      <c r="AQ114" s="60"/>
      <c r="AR114" s="60"/>
      <c r="AS114" s="60"/>
      <c r="AT114" s="60"/>
    </row>
    <row r="115" spans="4:46" ht="20.25" customHeight="1" outlineLevel="1">
      <c r="D115" s="1">
        <f t="shared" si="146"/>
        <v>0</v>
      </c>
      <c r="E115" s="1">
        <f>F115*Предпосылки!I39/4</f>
        <v>0</v>
      </c>
      <c r="F115" s="1">
        <f>Предпосылки!L72/(1+Предпосылки!F39)</f>
        <v>0</v>
      </c>
      <c r="G115" s="140">
        <f t="shared" si="147"/>
        <v>0</v>
      </c>
      <c r="H115" s="203" t="str">
        <f t="shared" si="148"/>
        <v>Оборудование 17</v>
      </c>
      <c r="I115" s="204"/>
      <c r="J115" s="205"/>
      <c r="K115" s="205"/>
      <c r="L115" s="223">
        <f t="shared" si="150"/>
        <v>0</v>
      </c>
      <c r="M115" s="223">
        <f t="shared" si="151"/>
        <v>0</v>
      </c>
      <c r="N115" s="223">
        <f t="shared" si="151"/>
        <v>0</v>
      </c>
      <c r="O115" s="223">
        <f t="shared" si="151"/>
        <v>0</v>
      </c>
      <c r="P115" s="223">
        <f t="shared" si="151"/>
        <v>0</v>
      </c>
      <c r="Q115" s="223">
        <f t="shared" si="151"/>
        <v>0</v>
      </c>
      <c r="R115" s="223">
        <f t="shared" si="151"/>
        <v>0</v>
      </c>
      <c r="S115" s="223">
        <f t="shared" si="151"/>
        <v>0</v>
      </c>
      <c r="T115" s="223">
        <f t="shared" si="151"/>
        <v>0</v>
      </c>
      <c r="U115" s="223">
        <f t="shared" si="151"/>
        <v>0</v>
      </c>
      <c r="V115" s="223">
        <f t="shared" si="151"/>
        <v>0</v>
      </c>
      <c r="W115" s="223">
        <f t="shared" si="151"/>
        <v>0</v>
      </c>
      <c r="X115" s="223">
        <f t="shared" si="151"/>
        <v>0</v>
      </c>
      <c r="Y115" s="223">
        <f t="shared" si="151"/>
        <v>0</v>
      </c>
      <c r="Z115" s="223">
        <f t="shared" si="151"/>
        <v>0</v>
      </c>
      <c r="AA115" s="223">
        <f t="shared" si="151"/>
        <v>0</v>
      </c>
      <c r="AB115" s="223">
        <f t="shared" si="151"/>
        <v>0</v>
      </c>
      <c r="AC115" s="223">
        <f t="shared" si="151"/>
        <v>0</v>
      </c>
      <c r="AD115" s="223">
        <f t="shared" si="151"/>
        <v>0</v>
      </c>
      <c r="AE115" s="223">
        <f t="shared" si="151"/>
        <v>0</v>
      </c>
      <c r="AF115" s="223">
        <f t="shared" si="151"/>
        <v>0</v>
      </c>
      <c r="AG115" s="223">
        <f t="shared" si="151"/>
        <v>0</v>
      </c>
      <c r="AH115" s="223">
        <f t="shared" si="151"/>
        <v>0</v>
      </c>
      <c r="AI115" s="223">
        <f t="shared" si="151"/>
        <v>0</v>
      </c>
      <c r="AJ115" s="223">
        <f t="shared" si="151"/>
        <v>0</v>
      </c>
      <c r="AK115" s="223">
        <f t="shared" si="151"/>
        <v>0</v>
      </c>
      <c r="AL115" s="223">
        <f t="shared" si="151"/>
        <v>0</v>
      </c>
      <c r="AM115" s="223">
        <f t="shared" si="151"/>
        <v>0</v>
      </c>
      <c r="AN115" s="223">
        <f t="shared" si="151"/>
        <v>0</v>
      </c>
      <c r="AO115" s="223">
        <f t="shared" si="151"/>
        <v>0</v>
      </c>
      <c r="AP115" s="60"/>
      <c r="AQ115" s="60"/>
      <c r="AR115" s="60"/>
      <c r="AS115" s="60"/>
      <c r="AT115" s="60"/>
    </row>
    <row r="116" spans="4:46" ht="20.25" customHeight="1" outlineLevel="1">
      <c r="D116" s="1">
        <f t="shared" si="146"/>
        <v>0</v>
      </c>
      <c r="E116" s="1">
        <f>F116*Предпосылки!I40/4</f>
        <v>0</v>
      </c>
      <c r="F116" s="1">
        <f>Предпосылки!L73/(1+Предпосылки!F40)</f>
        <v>0</v>
      </c>
      <c r="G116" s="140">
        <f t="shared" si="147"/>
        <v>0</v>
      </c>
      <c r="H116" s="203" t="str">
        <f t="shared" si="148"/>
        <v>Оборудование 18</v>
      </c>
      <c r="I116" s="204"/>
      <c r="J116" s="205"/>
      <c r="K116" s="205"/>
      <c r="L116" s="223">
        <f t="shared" si="150"/>
        <v>0</v>
      </c>
      <c r="M116" s="223">
        <f t="shared" si="151"/>
        <v>0</v>
      </c>
      <c r="N116" s="223">
        <f t="shared" si="151"/>
        <v>0</v>
      </c>
      <c r="O116" s="223">
        <f t="shared" si="151"/>
        <v>0</v>
      </c>
      <c r="P116" s="223">
        <f t="shared" si="151"/>
        <v>0</v>
      </c>
      <c r="Q116" s="223">
        <f t="shared" si="151"/>
        <v>0</v>
      </c>
      <c r="R116" s="223">
        <f t="shared" si="151"/>
        <v>0</v>
      </c>
      <c r="S116" s="223">
        <f t="shared" si="151"/>
        <v>0</v>
      </c>
      <c r="T116" s="223">
        <f t="shared" si="151"/>
        <v>0</v>
      </c>
      <c r="U116" s="223">
        <f t="shared" si="151"/>
        <v>0</v>
      </c>
      <c r="V116" s="223">
        <f t="shared" si="151"/>
        <v>0</v>
      </c>
      <c r="W116" s="223">
        <f t="shared" si="151"/>
        <v>0</v>
      </c>
      <c r="X116" s="223">
        <f t="shared" si="151"/>
        <v>0</v>
      </c>
      <c r="Y116" s="223">
        <f t="shared" si="151"/>
        <v>0</v>
      </c>
      <c r="Z116" s="223">
        <f t="shared" si="151"/>
        <v>0</v>
      </c>
      <c r="AA116" s="223">
        <f t="shared" si="151"/>
        <v>0</v>
      </c>
      <c r="AB116" s="223">
        <f t="shared" si="151"/>
        <v>0</v>
      </c>
      <c r="AC116" s="223">
        <f t="shared" si="151"/>
        <v>0</v>
      </c>
      <c r="AD116" s="223">
        <f t="shared" si="151"/>
        <v>0</v>
      </c>
      <c r="AE116" s="223">
        <f t="shared" si="151"/>
        <v>0</v>
      </c>
      <c r="AF116" s="223">
        <f t="shared" si="151"/>
        <v>0</v>
      </c>
      <c r="AG116" s="223">
        <f t="shared" si="151"/>
        <v>0</v>
      </c>
      <c r="AH116" s="223">
        <f t="shared" si="151"/>
        <v>0</v>
      </c>
      <c r="AI116" s="223">
        <f t="shared" si="151"/>
        <v>0</v>
      </c>
      <c r="AJ116" s="223">
        <f t="shared" si="151"/>
        <v>0</v>
      </c>
      <c r="AK116" s="223">
        <f t="shared" si="151"/>
        <v>0</v>
      </c>
      <c r="AL116" s="223">
        <f t="shared" si="151"/>
        <v>0</v>
      </c>
      <c r="AM116" s="223">
        <f t="shared" si="151"/>
        <v>0</v>
      </c>
      <c r="AN116" s="223">
        <f t="shared" si="151"/>
        <v>0</v>
      </c>
      <c r="AO116" s="223">
        <f t="shared" si="151"/>
        <v>0</v>
      </c>
      <c r="AP116" s="60"/>
      <c r="AQ116" s="60"/>
      <c r="AR116" s="60"/>
      <c r="AS116" s="60"/>
      <c r="AT116" s="60"/>
    </row>
    <row r="117" spans="4:46" ht="20.25" customHeight="1" outlineLevel="1">
      <c r="D117" s="1">
        <f t="shared" si="146"/>
        <v>0</v>
      </c>
      <c r="E117" s="1">
        <f>F117*Предпосылки!I41/4</f>
        <v>0</v>
      </c>
      <c r="F117" s="1">
        <f>Предпосылки!L74/(1+Предпосылки!F41)</f>
        <v>0</v>
      </c>
      <c r="G117" s="140">
        <f t="shared" si="147"/>
        <v>0</v>
      </c>
      <c r="H117" s="203" t="str">
        <f t="shared" si="148"/>
        <v>Оборудование 19</v>
      </c>
      <c r="I117" s="204"/>
      <c r="J117" s="205"/>
      <c r="K117" s="205"/>
      <c r="L117" s="223">
        <f t="shared" si="150"/>
        <v>0</v>
      </c>
      <c r="M117" s="223">
        <f t="shared" si="151"/>
        <v>0</v>
      </c>
      <c r="N117" s="223">
        <f t="shared" si="151"/>
        <v>0</v>
      </c>
      <c r="O117" s="223">
        <f t="shared" si="151"/>
        <v>0</v>
      </c>
      <c r="P117" s="223">
        <f t="shared" si="151"/>
        <v>0</v>
      </c>
      <c r="Q117" s="223">
        <f t="shared" si="151"/>
        <v>0</v>
      </c>
      <c r="R117" s="223">
        <f t="shared" si="151"/>
        <v>0</v>
      </c>
      <c r="S117" s="223">
        <f t="shared" si="151"/>
        <v>0</v>
      </c>
      <c r="T117" s="223">
        <f t="shared" si="151"/>
        <v>0</v>
      </c>
      <c r="U117" s="223">
        <f t="shared" si="151"/>
        <v>0</v>
      </c>
      <c r="V117" s="223">
        <f t="shared" si="151"/>
        <v>0</v>
      </c>
      <c r="W117" s="223">
        <f t="shared" si="151"/>
        <v>0</v>
      </c>
      <c r="X117" s="223">
        <f t="shared" si="151"/>
        <v>0</v>
      </c>
      <c r="Y117" s="223">
        <f t="shared" si="151"/>
        <v>0</v>
      </c>
      <c r="Z117" s="223">
        <f t="shared" si="151"/>
        <v>0</v>
      </c>
      <c r="AA117" s="223">
        <f t="shared" si="151"/>
        <v>0</v>
      </c>
      <c r="AB117" s="223">
        <f t="shared" si="151"/>
        <v>0</v>
      </c>
      <c r="AC117" s="223">
        <f t="shared" si="151"/>
        <v>0</v>
      </c>
      <c r="AD117" s="223">
        <f t="shared" si="151"/>
        <v>0</v>
      </c>
      <c r="AE117" s="223">
        <f t="shared" si="151"/>
        <v>0</v>
      </c>
      <c r="AF117" s="223">
        <f t="shared" si="151"/>
        <v>0</v>
      </c>
      <c r="AG117" s="223">
        <f t="shared" si="151"/>
        <v>0</v>
      </c>
      <c r="AH117" s="223">
        <f t="shared" si="151"/>
        <v>0</v>
      </c>
      <c r="AI117" s="223">
        <f t="shared" si="151"/>
        <v>0</v>
      </c>
      <c r="AJ117" s="223">
        <f t="shared" si="151"/>
        <v>0</v>
      </c>
      <c r="AK117" s="223">
        <f t="shared" si="151"/>
        <v>0</v>
      </c>
      <c r="AL117" s="223">
        <f t="shared" si="151"/>
        <v>0</v>
      </c>
      <c r="AM117" s="223">
        <f t="shared" si="151"/>
        <v>0</v>
      </c>
      <c r="AN117" s="223">
        <f t="shared" si="151"/>
        <v>0</v>
      </c>
      <c r="AO117" s="223">
        <f t="shared" si="151"/>
        <v>0</v>
      </c>
      <c r="AP117" s="60"/>
      <c r="AQ117" s="60"/>
      <c r="AR117" s="60"/>
      <c r="AS117" s="60"/>
      <c r="AT117" s="60"/>
    </row>
    <row r="118" spans="4:46" ht="20.25" customHeight="1" outlineLevel="1">
      <c r="D118" s="1">
        <f t="shared" si="146"/>
        <v>0</v>
      </c>
      <c r="E118" s="1">
        <f>F118*Предпосылки!I42/4</f>
        <v>0</v>
      </c>
      <c r="F118" s="1">
        <f>Предпосылки!L75/(1+Предпосылки!F42)</f>
        <v>0</v>
      </c>
      <c r="G118" s="140">
        <f t="shared" si="147"/>
        <v>0</v>
      </c>
      <c r="H118" s="203" t="str">
        <f t="shared" si="148"/>
        <v>Оборудование 20</v>
      </c>
      <c r="I118" s="204"/>
      <c r="J118" s="205"/>
      <c r="K118" s="205"/>
      <c r="L118" s="223">
        <f>IF(AND(L$10&gt;=$G118,L$10&lt;($G118+$D118)),$E118,0)</f>
        <v>0</v>
      </c>
      <c r="M118" s="223">
        <f t="shared" si="151"/>
        <v>0</v>
      </c>
      <c r="N118" s="223">
        <f t="shared" si="151"/>
        <v>0</v>
      </c>
      <c r="O118" s="223">
        <f t="shared" si="151"/>
        <v>0</v>
      </c>
      <c r="P118" s="223">
        <f t="shared" ref="P118:AO118" si="152">IF(AND(P$10&gt;=$G118,P$10&lt;($G118+$D118)),$E118,0)</f>
        <v>0</v>
      </c>
      <c r="Q118" s="223">
        <f t="shared" si="152"/>
        <v>0</v>
      </c>
      <c r="R118" s="223">
        <f t="shared" si="152"/>
        <v>0</v>
      </c>
      <c r="S118" s="223">
        <f t="shared" si="152"/>
        <v>0</v>
      </c>
      <c r="T118" s="223">
        <f t="shared" si="152"/>
        <v>0</v>
      </c>
      <c r="U118" s="223">
        <f t="shared" si="152"/>
        <v>0</v>
      </c>
      <c r="V118" s="223">
        <f t="shared" si="152"/>
        <v>0</v>
      </c>
      <c r="W118" s="223">
        <f t="shared" si="152"/>
        <v>0</v>
      </c>
      <c r="X118" s="223">
        <f t="shared" si="152"/>
        <v>0</v>
      </c>
      <c r="Y118" s="223">
        <f t="shared" si="152"/>
        <v>0</v>
      </c>
      <c r="Z118" s="223">
        <f t="shared" si="152"/>
        <v>0</v>
      </c>
      <c r="AA118" s="223">
        <f t="shared" si="152"/>
        <v>0</v>
      </c>
      <c r="AB118" s="223">
        <f t="shared" si="152"/>
        <v>0</v>
      </c>
      <c r="AC118" s="223">
        <f t="shared" si="152"/>
        <v>0</v>
      </c>
      <c r="AD118" s="223">
        <f t="shared" si="152"/>
        <v>0</v>
      </c>
      <c r="AE118" s="223">
        <f t="shared" si="152"/>
        <v>0</v>
      </c>
      <c r="AF118" s="223">
        <f t="shared" si="152"/>
        <v>0</v>
      </c>
      <c r="AG118" s="223">
        <f t="shared" si="152"/>
        <v>0</v>
      </c>
      <c r="AH118" s="223">
        <f t="shared" si="152"/>
        <v>0</v>
      </c>
      <c r="AI118" s="223">
        <f t="shared" si="152"/>
        <v>0</v>
      </c>
      <c r="AJ118" s="223">
        <f t="shared" si="152"/>
        <v>0</v>
      </c>
      <c r="AK118" s="223">
        <f t="shared" si="152"/>
        <v>0</v>
      </c>
      <c r="AL118" s="223">
        <f t="shared" si="152"/>
        <v>0</v>
      </c>
      <c r="AM118" s="223">
        <f t="shared" si="152"/>
        <v>0</v>
      </c>
      <c r="AN118" s="223">
        <f t="shared" si="152"/>
        <v>0</v>
      </c>
      <c r="AO118" s="223">
        <f t="shared" si="152"/>
        <v>0</v>
      </c>
      <c r="AP118" s="60"/>
      <c r="AQ118" s="60"/>
      <c r="AR118" s="60"/>
      <c r="AS118" s="60"/>
      <c r="AT118" s="60"/>
    </row>
    <row r="119" spans="4:46" ht="20.25" customHeight="1" outlineLevel="1">
      <c r="E119" s="212"/>
      <c r="G119" s="212"/>
      <c r="H119" s="203" t="s">
        <v>73</v>
      </c>
      <c r="I119" s="204"/>
      <c r="J119" s="205"/>
      <c r="K119" s="205"/>
      <c r="L119" s="223">
        <f>(L35+L78)</f>
        <v>0</v>
      </c>
      <c r="M119" s="223">
        <f t="shared" ref="M119:AO119" si="153">(M35+M78)</f>
        <v>0</v>
      </c>
      <c r="N119" s="223">
        <f t="shared" si="153"/>
        <v>0</v>
      </c>
      <c r="O119" s="223">
        <f t="shared" si="153"/>
        <v>0</v>
      </c>
      <c r="P119" s="223">
        <f t="shared" si="153"/>
        <v>0</v>
      </c>
      <c r="Q119" s="223">
        <f t="shared" si="153"/>
        <v>0</v>
      </c>
      <c r="R119" s="223">
        <f t="shared" si="153"/>
        <v>0</v>
      </c>
      <c r="S119" s="223">
        <f t="shared" si="153"/>
        <v>0</v>
      </c>
      <c r="T119" s="223">
        <f t="shared" si="153"/>
        <v>0</v>
      </c>
      <c r="U119" s="223">
        <f t="shared" si="153"/>
        <v>0</v>
      </c>
      <c r="V119" s="223">
        <f t="shared" si="153"/>
        <v>0</v>
      </c>
      <c r="W119" s="223">
        <f t="shared" si="153"/>
        <v>0</v>
      </c>
      <c r="X119" s="223">
        <f t="shared" si="153"/>
        <v>0</v>
      </c>
      <c r="Y119" s="223">
        <f t="shared" si="153"/>
        <v>0</v>
      </c>
      <c r="Z119" s="223">
        <f t="shared" si="153"/>
        <v>0</v>
      </c>
      <c r="AA119" s="223">
        <f t="shared" si="153"/>
        <v>0</v>
      </c>
      <c r="AB119" s="223">
        <f t="shared" si="153"/>
        <v>0</v>
      </c>
      <c r="AC119" s="223">
        <f t="shared" si="153"/>
        <v>0</v>
      </c>
      <c r="AD119" s="223">
        <f t="shared" si="153"/>
        <v>0</v>
      </c>
      <c r="AE119" s="223">
        <f t="shared" si="153"/>
        <v>0</v>
      </c>
      <c r="AF119" s="223">
        <f t="shared" si="153"/>
        <v>0</v>
      </c>
      <c r="AG119" s="223">
        <f t="shared" si="153"/>
        <v>0</v>
      </c>
      <c r="AH119" s="223">
        <f t="shared" si="153"/>
        <v>0</v>
      </c>
      <c r="AI119" s="223">
        <f t="shared" si="153"/>
        <v>0</v>
      </c>
      <c r="AJ119" s="223">
        <f t="shared" si="153"/>
        <v>0</v>
      </c>
      <c r="AK119" s="223">
        <f t="shared" si="153"/>
        <v>0</v>
      </c>
      <c r="AL119" s="223">
        <f t="shared" si="153"/>
        <v>0</v>
      </c>
      <c r="AM119" s="223">
        <f t="shared" si="153"/>
        <v>0</v>
      </c>
      <c r="AN119" s="223">
        <f t="shared" si="153"/>
        <v>0</v>
      </c>
      <c r="AO119" s="223">
        <f t="shared" si="153"/>
        <v>0</v>
      </c>
      <c r="AP119" s="60"/>
      <c r="AQ119" s="60"/>
      <c r="AR119" s="60"/>
      <c r="AS119" s="60"/>
      <c r="AT119" s="60"/>
    </row>
    <row r="120" spans="4:46" ht="20.25" customHeight="1" outlineLevel="1">
      <c r="E120" s="212"/>
      <c r="G120" s="212"/>
      <c r="H120" s="203" t="s">
        <v>428</v>
      </c>
      <c r="I120" s="204"/>
      <c r="J120" s="205"/>
      <c r="K120" s="205"/>
      <c r="L120" s="223">
        <f t="shared" ref="L120:AO120" si="154">L60+L74+L79+L80+L81+L82+L123+L124</f>
        <v>-4.68</v>
      </c>
      <c r="M120" s="223">
        <f t="shared" si="154"/>
        <v>-107.04741926229509</v>
      </c>
      <c r="N120" s="223">
        <f t="shared" si="154"/>
        <v>2566.622580737705</v>
      </c>
      <c r="O120" s="223">
        <f t="shared" si="154"/>
        <v>-946.84741926229515</v>
      </c>
      <c r="P120" s="223">
        <f t="shared" si="154"/>
        <v>-697.7774192622951</v>
      </c>
      <c r="Q120" s="223">
        <f t="shared" si="154"/>
        <v>-1357.6274192622952</v>
      </c>
      <c r="R120" s="223">
        <f t="shared" si="154"/>
        <v>-1464.0174192622949</v>
      </c>
      <c r="S120" s="223">
        <f t="shared" si="154"/>
        <v>-1491.387419262295</v>
      </c>
      <c r="T120" s="223">
        <f t="shared" si="154"/>
        <v>-1514.4474192622952</v>
      </c>
      <c r="U120" s="223">
        <f t="shared" si="154"/>
        <v>-1538.2274192622951</v>
      </c>
      <c r="V120" s="223">
        <f t="shared" si="154"/>
        <v>-1562.9874192622949</v>
      </c>
      <c r="W120" s="223">
        <f t="shared" si="154"/>
        <v>-1587.9274192622952</v>
      </c>
      <c r="X120" s="223">
        <f t="shared" si="154"/>
        <v>-1612.0574192622953</v>
      </c>
      <c r="Y120" s="223">
        <f t="shared" si="154"/>
        <v>-1637.9674192622952</v>
      </c>
      <c r="Z120" s="223">
        <f t="shared" si="154"/>
        <v>-1664.5074192622953</v>
      </c>
      <c r="AA120" s="223">
        <f t="shared" si="154"/>
        <v>-1691.2374192622954</v>
      </c>
      <c r="AB120" s="223">
        <f t="shared" si="154"/>
        <v>-1717.1674192622952</v>
      </c>
      <c r="AC120" s="223">
        <f t="shared" si="154"/>
        <v>-1744.857419262295</v>
      </c>
      <c r="AD120" s="223">
        <f t="shared" si="154"/>
        <v>-1773.3274192622953</v>
      </c>
      <c r="AE120" s="223">
        <f t="shared" si="154"/>
        <v>-1801.8374192622953</v>
      </c>
      <c r="AF120" s="223">
        <f t="shared" si="154"/>
        <v>-1829.5474192622951</v>
      </c>
      <c r="AG120" s="223">
        <f t="shared" si="154"/>
        <v>-1828.9574192622952</v>
      </c>
      <c r="AH120" s="223">
        <f t="shared" si="154"/>
        <v>-1859.0074192622951</v>
      </c>
      <c r="AI120" s="223">
        <f t="shared" si="154"/>
        <v>-1889.5574192622953</v>
      </c>
      <c r="AJ120" s="223">
        <f t="shared" si="154"/>
        <v>-1920.2474192622954</v>
      </c>
      <c r="AK120" s="223">
        <f t="shared" si="154"/>
        <v>-1951.4474192622954</v>
      </c>
      <c r="AL120" s="223">
        <f t="shared" si="154"/>
        <v>-1983.5474192622953</v>
      </c>
      <c r="AM120" s="223">
        <f t="shared" si="154"/>
        <v>-2016.1474192622952</v>
      </c>
      <c r="AN120" s="223">
        <f t="shared" si="154"/>
        <v>-2048.627419262295</v>
      </c>
      <c r="AO120" s="223">
        <f t="shared" si="154"/>
        <v>-76.967419262295095</v>
      </c>
      <c r="AP120" s="60"/>
      <c r="AQ120" s="60"/>
      <c r="AR120" s="60"/>
      <c r="AS120" s="60"/>
      <c r="AT120" s="60"/>
    </row>
    <row r="121" spans="4:46" ht="20.25" customHeight="1" outlineLevel="1">
      <c r="E121" s="212"/>
      <c r="G121" s="212"/>
      <c r="H121" s="203" t="s">
        <v>429</v>
      </c>
      <c r="I121" s="204"/>
      <c r="J121" s="205"/>
      <c r="K121" s="205"/>
      <c r="L121" s="223">
        <f>L119+L120-L98</f>
        <v>-4.68</v>
      </c>
      <c r="M121" s="223">
        <f t="shared" ref="M121:AO121" si="155">M119+M120-M98</f>
        <v>-1856.2663127049182</v>
      </c>
      <c r="N121" s="223">
        <f t="shared" si="155"/>
        <v>817.40368729508191</v>
      </c>
      <c r="O121" s="223">
        <f t="shared" si="155"/>
        <v>-2696.0663127049183</v>
      </c>
      <c r="P121" s="223">
        <f t="shared" si="155"/>
        <v>-2446.9963127049182</v>
      </c>
      <c r="Q121" s="223">
        <f t="shared" si="155"/>
        <v>-3106.8463127049181</v>
      </c>
      <c r="R121" s="223">
        <f t="shared" si="155"/>
        <v>-3213.236312704918</v>
      </c>
      <c r="S121" s="223">
        <f t="shared" si="155"/>
        <v>-3240.6063127049183</v>
      </c>
      <c r="T121" s="223">
        <f t="shared" si="155"/>
        <v>-3263.6663127049183</v>
      </c>
      <c r="U121" s="223">
        <f t="shared" si="155"/>
        <v>-3287.4463127049185</v>
      </c>
      <c r="V121" s="223">
        <f t="shared" si="155"/>
        <v>-3312.2063127049178</v>
      </c>
      <c r="W121" s="223">
        <f t="shared" si="155"/>
        <v>-3337.1463127049183</v>
      </c>
      <c r="X121" s="223">
        <f t="shared" si="155"/>
        <v>-3361.2763127049184</v>
      </c>
      <c r="Y121" s="223">
        <f t="shared" si="155"/>
        <v>-3387.1863127049182</v>
      </c>
      <c r="Z121" s="223">
        <f t="shared" si="155"/>
        <v>-3413.7263127049182</v>
      </c>
      <c r="AA121" s="223">
        <f t="shared" si="155"/>
        <v>-3440.4563127049187</v>
      </c>
      <c r="AB121" s="223">
        <f t="shared" si="155"/>
        <v>-3466.3863127049181</v>
      </c>
      <c r="AC121" s="223">
        <f t="shared" si="155"/>
        <v>-3494.0763127049181</v>
      </c>
      <c r="AD121" s="223">
        <f t="shared" si="155"/>
        <v>-3522.5463127049184</v>
      </c>
      <c r="AE121" s="223">
        <f t="shared" si="155"/>
        <v>-3551.0563127049181</v>
      </c>
      <c r="AF121" s="223">
        <f t="shared" si="155"/>
        <v>-3578.7663127049182</v>
      </c>
      <c r="AG121" s="223">
        <f t="shared" si="155"/>
        <v>-1828.9574192622952</v>
      </c>
      <c r="AH121" s="223">
        <f t="shared" si="155"/>
        <v>-1859.0074192622951</v>
      </c>
      <c r="AI121" s="223">
        <f t="shared" si="155"/>
        <v>-1889.5574192622953</v>
      </c>
      <c r="AJ121" s="223">
        <f t="shared" si="155"/>
        <v>-1920.2474192622954</v>
      </c>
      <c r="AK121" s="223">
        <f t="shared" si="155"/>
        <v>-1951.4474192622954</v>
      </c>
      <c r="AL121" s="223">
        <f t="shared" si="155"/>
        <v>-1983.5474192622953</v>
      </c>
      <c r="AM121" s="223">
        <f t="shared" si="155"/>
        <v>-2016.1474192622952</v>
      </c>
      <c r="AN121" s="223">
        <f t="shared" si="155"/>
        <v>-2048.627419262295</v>
      </c>
      <c r="AO121" s="223">
        <f t="shared" si="155"/>
        <v>-76.967419262295095</v>
      </c>
      <c r="AP121" s="60"/>
      <c r="AQ121" s="60"/>
      <c r="AR121" s="60"/>
      <c r="AS121" s="60"/>
      <c r="AT121" s="60"/>
    </row>
    <row r="122" spans="4:46" ht="20.25" customHeight="1" outlineLevel="1">
      <c r="H122" s="203" t="s">
        <v>422</v>
      </c>
      <c r="I122" s="204"/>
      <c r="J122" s="205"/>
      <c r="K122" s="205"/>
      <c r="L122" s="223">
        <f>IF(Предпосылки!$C$16=справочник!$A$36,L121*0.25,0)</f>
        <v>-1.17</v>
      </c>
      <c r="M122" s="223">
        <f>IF(Предпосылки!$C$16=справочник!$A$36,M121*0.25,0)</f>
        <v>-464.06657817622954</v>
      </c>
      <c r="N122" s="223">
        <f>IF(Предпосылки!$C$16=справочник!$A$36,N121*0.25,0)</f>
        <v>204.35092182377048</v>
      </c>
      <c r="O122" s="223">
        <f>IF(Предпосылки!$C$16=справочник!$A$36,O121*0.25,0)</f>
        <v>-674.01657817622959</v>
      </c>
      <c r="P122" s="223">
        <f>IF(Предпосылки!$C$16=справочник!$A$36,P121*0.25,0)</f>
        <v>-611.74907817622955</v>
      </c>
      <c r="Q122" s="223">
        <f>IF(Предпосылки!$C$16=справочник!$A$36,Q121*0.25,0)</f>
        <v>-776.71157817622952</v>
      </c>
      <c r="R122" s="223">
        <f>IF(Предпосылки!$C$16=справочник!$A$36,R121*0.25,0)</f>
        <v>-803.30907817622949</v>
      </c>
      <c r="S122" s="223">
        <f>IF(Предпосылки!$C$16=справочник!$A$36,S121*0.25,0)</f>
        <v>-810.15157817622958</v>
      </c>
      <c r="T122" s="223">
        <f>IF(Предпосылки!$C$16=справочник!$A$36,T121*0.25,0)</f>
        <v>-815.91657817622956</v>
      </c>
      <c r="U122" s="223">
        <f>IF(Предпосылки!$C$16=справочник!$A$36,U121*0.25,0)</f>
        <v>-821.86157817622961</v>
      </c>
      <c r="V122" s="223">
        <f>IF(Предпосылки!$C$16=справочник!$A$36,V121*0.25,0)</f>
        <v>-828.05157817622944</v>
      </c>
      <c r="W122" s="223">
        <f>IF(Предпосылки!$C$16=справочник!$A$36,W121*0.25,0)</f>
        <v>-834.28657817622957</v>
      </c>
      <c r="X122" s="223">
        <f>IF(Предпосылки!$C$16=справочник!$A$36,X121*0.25,0)</f>
        <v>-840.3190781762296</v>
      </c>
      <c r="Y122" s="223">
        <f>IF(Предпосылки!$C$16=справочник!$A$36,Y121*0.25,0)</f>
        <v>-846.79657817622956</v>
      </c>
      <c r="Z122" s="223">
        <f>IF(Предпосылки!$C$16=справочник!$A$36,Z121*0.25,0)</f>
        <v>-853.43157817622955</v>
      </c>
      <c r="AA122" s="223">
        <f>IF(Предпосылки!$C$16=справочник!$A$36,AA121*0.25,0)</f>
        <v>-860.11407817622967</v>
      </c>
      <c r="AB122" s="223">
        <f>IF(Предпосылки!$C$16=справочник!$A$36,AB121*0.25,0)</f>
        <v>-866.59657817622951</v>
      </c>
      <c r="AC122" s="223">
        <f>IF(Предпосылки!$C$16=справочник!$A$36,AC121*0.25,0)</f>
        <v>-873.51907817622953</v>
      </c>
      <c r="AD122" s="223">
        <f>IF(Предпосылки!$C$16=справочник!$A$36,AD121*0.25,0)</f>
        <v>-880.63657817622959</v>
      </c>
      <c r="AE122" s="223">
        <f>IF(Предпосылки!$C$16=справочник!$A$36,AE121*0.25,0)</f>
        <v>-887.76407817622953</v>
      </c>
      <c r="AF122" s="223">
        <f>IF(Предпосылки!$C$16=справочник!$A$36,AF121*0.25,0)</f>
        <v>-894.69157817622954</v>
      </c>
      <c r="AG122" s="223">
        <f>IF(Предпосылки!$C$16=справочник!$A$36,AG121*0.25,0)</f>
        <v>-457.23935481557379</v>
      </c>
      <c r="AH122" s="223">
        <f>IF(Предпосылки!$C$16=справочник!$A$36,AH121*0.25,0)</f>
        <v>-464.75185481557378</v>
      </c>
      <c r="AI122" s="223">
        <f>IF(Предпосылки!$C$16=справочник!$A$36,AI121*0.25,0)</f>
        <v>-472.38935481557382</v>
      </c>
      <c r="AJ122" s="223">
        <f>IF(Предпосылки!$C$16=справочник!$A$36,AJ121*0.25,0)</f>
        <v>-480.06185481557384</v>
      </c>
      <c r="AK122" s="223">
        <f>IF(Предпосылки!$C$16=справочник!$A$36,AK121*0.25,0)</f>
        <v>-487.86185481557385</v>
      </c>
      <c r="AL122" s="223">
        <f>IF(Предпосылки!$C$16=справочник!$A$36,AL121*0.25,0)</f>
        <v>-495.88685481557383</v>
      </c>
      <c r="AM122" s="223">
        <f>IF(Предпосылки!$C$16=справочник!$A$36,AM121*0.25,0)</f>
        <v>-504.0368548155738</v>
      </c>
      <c r="AN122" s="223">
        <f>IF(Предпосылки!$C$16=справочник!$A$36,AN121*0.25,0)</f>
        <v>-512.15685481557375</v>
      </c>
      <c r="AO122" s="223">
        <f>IF(Предпосылки!$C$16=справочник!$A$36,AO121*0.25,0)</f>
        <v>-19.241854815573774</v>
      </c>
      <c r="AP122" s="60"/>
      <c r="AQ122" s="60"/>
      <c r="AR122" s="60"/>
      <c r="AS122" s="60"/>
      <c r="AT122" s="60"/>
    </row>
    <row r="123" spans="4:46" ht="20.25" customHeight="1">
      <c r="H123" s="105" t="s">
        <v>240</v>
      </c>
      <c r="I123" s="107" t="s">
        <v>29</v>
      </c>
      <c r="J123" s="115">
        <f t="shared" si="100"/>
        <v>-4600.7600000000011</v>
      </c>
      <c r="K123" s="115">
        <f t="shared" si="101"/>
        <v>-3012.0600000000004</v>
      </c>
      <c r="L123" s="221">
        <f>-ROUND(Предпосылки!E311*L29,2)</f>
        <v>0</v>
      </c>
      <c r="M123" s="221">
        <f>-ROUND(Предпосылки!F311*M29,2)</f>
        <v>0</v>
      </c>
      <c r="N123" s="221">
        <f>-ROUND(Предпосылки!G311*N29,2)</f>
        <v>-136.5</v>
      </c>
      <c r="O123" s="221">
        <f>-ROUND(Предпосылки!H311*O29,2)</f>
        <v>-136.5</v>
      </c>
      <c r="P123" s="221">
        <f>-ROUND(Предпосылки!I311*P29,2)</f>
        <v>-139.19</v>
      </c>
      <c r="Q123" s="221">
        <f>-ROUND(Предпосылки!J311*Q29,2)</f>
        <v>-141.96</v>
      </c>
      <c r="R123" s="221">
        <f>-ROUND(Предпосылки!K311*R29,2)</f>
        <v>-144.83000000000001</v>
      </c>
      <c r="S123" s="221">
        <f>-ROUND(Предпосылки!L311*S29,2)</f>
        <v>-147.75</v>
      </c>
      <c r="T123" s="221">
        <f>-ROUND(Предпосылки!M311*T29,2)</f>
        <v>-150.25</v>
      </c>
      <c r="U123" s="221">
        <f>-ROUND(Предпосылки!N311*U29,2)</f>
        <v>-152.78</v>
      </c>
      <c r="V123" s="221">
        <f>-ROUND(Предпосылки!O311*V29,2)</f>
        <v>-155.38999999999999</v>
      </c>
      <c r="W123" s="221">
        <f>-ROUND(Предпосылки!P311*W29,2)</f>
        <v>-158.05000000000001</v>
      </c>
      <c r="X123" s="221">
        <f>-ROUND(Предпосылки!Q311*X29,2)</f>
        <v>-160.69999999999999</v>
      </c>
      <c r="Y123" s="221">
        <f>-ROUND(Предпосылки!R311*Y29,2)</f>
        <v>-163.43</v>
      </c>
      <c r="Z123" s="221">
        <f>-ROUND(Предпосылки!S311*Z29,2)</f>
        <v>-166.23</v>
      </c>
      <c r="AA123" s="221">
        <f>-ROUND(Предпосылки!T311*AA29,2)</f>
        <v>-169.08</v>
      </c>
      <c r="AB123" s="221">
        <f>-ROUND(Предпосылки!U311*AB29,2)</f>
        <v>-171.92</v>
      </c>
      <c r="AC123" s="221">
        <f>-ROUND(Предпосылки!V311*AC29,2)</f>
        <v>-174.84</v>
      </c>
      <c r="AD123" s="221">
        <f>-ROUND(Предпосылки!W311*AD29,2)</f>
        <v>-177.85</v>
      </c>
      <c r="AE123" s="221">
        <f>-ROUND(Предпосылки!X311*AE29,2)</f>
        <v>-180.89</v>
      </c>
      <c r="AF123" s="221">
        <f>-ROUND(Предпосылки!Y311*AF29,2)</f>
        <v>-183.92</v>
      </c>
      <c r="AG123" s="221">
        <f>-ROUND(Предпосылки!Z311*AG29,2)</f>
        <v>-187.03</v>
      </c>
      <c r="AH123" s="221">
        <f>-ROUND(Предпосылки!AA311*AH29,2)</f>
        <v>-190.24</v>
      </c>
      <c r="AI123" s="221">
        <f>-ROUND(Предпосылки!AB311*AI29,2)</f>
        <v>-193.5</v>
      </c>
      <c r="AJ123" s="221">
        <f>-ROUND(Предпосылки!AC311*AJ29,2)</f>
        <v>-196.78</v>
      </c>
      <c r="AK123" s="221">
        <f>-ROUND(Предпосылки!AD311*AK29,2)</f>
        <v>-200.11</v>
      </c>
      <c r="AL123" s="221">
        <f>-ROUND(Предпосылки!AE311*AL29,2)</f>
        <v>-203.54</v>
      </c>
      <c r="AM123" s="221">
        <f>-ROUND(Предпосылки!AF311*AM29,2)</f>
        <v>-207.02</v>
      </c>
      <c r="AN123" s="221">
        <f>-ROUND(Предпосылки!AG311*AN29,2)</f>
        <v>-210.48</v>
      </c>
      <c r="AO123" s="221">
        <f>-ROUND(Предпосылки!AH311*AO29,2)</f>
        <v>0</v>
      </c>
      <c r="AP123" s="60"/>
      <c r="AQ123" s="60"/>
      <c r="AR123" s="60"/>
      <c r="AS123" s="60"/>
      <c r="AT123" s="60"/>
    </row>
    <row r="124" spans="4:46" ht="20.25" customHeight="1">
      <c r="H124" s="105" t="s">
        <v>241</v>
      </c>
      <c r="I124" s="107" t="s">
        <v>29</v>
      </c>
      <c r="J124" s="115">
        <f t="shared" si="100"/>
        <v>-7706.2300000000005</v>
      </c>
      <c r="K124" s="115">
        <f t="shared" si="101"/>
        <v>-5045.18</v>
      </c>
      <c r="L124" s="221">
        <f>-ROUND(Предпосылки!E310*L29,2)</f>
        <v>0</v>
      </c>
      <c r="M124" s="221">
        <f>-ROUND(Предпосылки!F310*M29,2)</f>
        <v>0</v>
      </c>
      <c r="N124" s="221">
        <f>-ROUND(Предпосылки!G310*N29,2)</f>
        <v>-228.64</v>
      </c>
      <c r="O124" s="221">
        <f>-ROUND(Предпосылки!H310*O29,2)</f>
        <v>-228.64</v>
      </c>
      <c r="P124" s="221">
        <f>-ROUND(Предпосылки!I310*P29,2)</f>
        <v>-233.14</v>
      </c>
      <c r="Q124" s="221">
        <f>-ROUND(Предпосылки!J310*Q29,2)</f>
        <v>-237.78</v>
      </c>
      <c r="R124" s="221">
        <f>-ROUND(Предпосылки!K310*R29,2)</f>
        <v>-242.58</v>
      </c>
      <c r="S124" s="221">
        <f>-ROUND(Предпосылки!L310*S29,2)</f>
        <v>-247.48</v>
      </c>
      <c r="T124" s="221">
        <f>-ROUND(Предпосылки!M310*T29,2)</f>
        <v>-251.66</v>
      </c>
      <c r="U124" s="221">
        <f>-ROUND(Предпосылки!N310*U29,2)</f>
        <v>-255.91</v>
      </c>
      <c r="V124" s="221">
        <f>-ROUND(Предпосылки!O310*V29,2)</f>
        <v>-260.27999999999997</v>
      </c>
      <c r="W124" s="221">
        <f>-ROUND(Предпосылки!P310*W29,2)</f>
        <v>-264.74</v>
      </c>
      <c r="X124" s="221">
        <f>-ROUND(Предпосылки!Q310*X29,2)</f>
        <v>-269.17</v>
      </c>
      <c r="Y124" s="221">
        <f>-ROUND(Предпосылки!R310*Y29,2)</f>
        <v>-273.75</v>
      </c>
      <c r="Z124" s="221">
        <f>-ROUND(Предпосылки!S310*Z29,2)</f>
        <v>-278.43</v>
      </c>
      <c r="AA124" s="221">
        <f>-ROUND(Предпосылки!T310*AA29,2)</f>
        <v>-283.20999999999998</v>
      </c>
      <c r="AB124" s="221">
        <f>-ROUND(Предпосылки!U310*AB29,2)</f>
        <v>-287.97000000000003</v>
      </c>
      <c r="AC124" s="221">
        <f>-ROUND(Предпосылки!V310*AC29,2)</f>
        <v>-292.86</v>
      </c>
      <c r="AD124" s="221">
        <f>-ROUND(Предпосылки!W310*AD29,2)</f>
        <v>-297.89</v>
      </c>
      <c r="AE124" s="221">
        <f>-ROUND(Предпосылки!X310*AE29,2)</f>
        <v>-302.99</v>
      </c>
      <c r="AF124" s="221">
        <f>-ROUND(Предпосылки!Y310*AF29,2)</f>
        <v>-308.06</v>
      </c>
      <c r="AG124" s="221">
        <f>-ROUND(Предпосылки!Z310*AG29,2)</f>
        <v>-313.27999999999997</v>
      </c>
      <c r="AH124" s="221">
        <f>-ROUND(Предпосылки!AA310*AH29,2)</f>
        <v>-318.64999999999998</v>
      </c>
      <c r="AI124" s="221">
        <f>-ROUND(Предпосылки!AB310*AI29,2)</f>
        <v>-324.11</v>
      </c>
      <c r="AJ124" s="221">
        <f>-ROUND(Предпосылки!AC310*AJ29,2)</f>
        <v>-329.6</v>
      </c>
      <c r="AK124" s="221">
        <f>-ROUND(Предпосылки!AD310*AK29,2)</f>
        <v>-335.18</v>
      </c>
      <c r="AL124" s="221">
        <f>-ROUND(Предпосылки!AE310*AL29,2)</f>
        <v>-340.92</v>
      </c>
      <c r="AM124" s="221">
        <f>-ROUND(Предпосылки!AF310*AM29,2)</f>
        <v>-346.75</v>
      </c>
      <c r="AN124" s="221">
        <f>-ROUND(Предпосылки!AG310*AN29,2)</f>
        <v>-352.56</v>
      </c>
      <c r="AO124" s="221">
        <f>-ROUND(Предпосылки!AH310*AO29,2)</f>
        <v>0</v>
      </c>
      <c r="AP124" s="60"/>
      <c r="AQ124" s="60"/>
      <c r="AR124" s="60"/>
      <c r="AS124" s="60"/>
      <c r="AT124" s="60"/>
    </row>
    <row r="125" spans="4:46" ht="20.25" customHeight="1">
      <c r="H125" s="105" t="s">
        <v>452</v>
      </c>
      <c r="I125" s="107" t="s">
        <v>29</v>
      </c>
      <c r="J125" s="115">
        <f t="shared" ref="J125" si="156">SUMIF($L$19:$AO$19,1,L125:AO125)</f>
        <v>0</v>
      </c>
      <c r="K125" s="115">
        <f t="shared" ref="K125" si="157">SUMIF($L$18:$AO$18,1,L125:AO125)</f>
        <v>0</v>
      </c>
      <c r="L125" s="221">
        <f>-Предпосылки!D348</f>
        <v>0</v>
      </c>
      <c r="M125" s="221">
        <f>-Предпосылки!E348</f>
        <v>0</v>
      </c>
      <c r="N125" s="221">
        <f>-Предпосылки!F348</f>
        <v>0</v>
      </c>
      <c r="O125" s="221">
        <f>-Предпосылки!G348</f>
        <v>0</v>
      </c>
      <c r="P125" s="221">
        <f>-Предпосылки!H348</f>
        <v>0</v>
      </c>
      <c r="Q125" s="221">
        <f>-Предпосылки!I348</f>
        <v>0</v>
      </c>
      <c r="R125" s="221">
        <f>-Предпосылки!J348</f>
        <v>0</v>
      </c>
      <c r="S125" s="221">
        <f>-Предпосылки!K348</f>
        <v>0</v>
      </c>
      <c r="T125" s="221">
        <f>-Предпосылки!L348</f>
        <v>0</v>
      </c>
      <c r="U125" s="221">
        <f>-Предпосылки!M348</f>
        <v>0</v>
      </c>
      <c r="V125" s="221">
        <f>-Предпосылки!N348</f>
        <v>0</v>
      </c>
      <c r="W125" s="221">
        <f>-Предпосылки!O348</f>
        <v>0</v>
      </c>
      <c r="X125" s="221">
        <f>-Предпосылки!P348</f>
        <v>0</v>
      </c>
      <c r="Y125" s="221">
        <f>-Предпосылки!Q348</f>
        <v>0</v>
      </c>
      <c r="Z125" s="221">
        <f>-Предпосылки!R348</f>
        <v>0</v>
      </c>
      <c r="AA125" s="221">
        <f>-Предпосылки!S348</f>
        <v>0</v>
      </c>
      <c r="AB125" s="221">
        <f>-Предпосылки!T348</f>
        <v>0</v>
      </c>
      <c r="AC125" s="221">
        <f>-Предпосылки!U348</f>
        <v>0</v>
      </c>
      <c r="AD125" s="221">
        <f>-Предпосылки!V348</f>
        <v>0</v>
      </c>
      <c r="AE125" s="221">
        <f>-Предпосылки!W348</f>
        <v>0</v>
      </c>
      <c r="AF125" s="221">
        <f>-Предпосылки!X348</f>
        <v>0</v>
      </c>
      <c r="AG125" s="221">
        <f>-Предпосылки!Y348</f>
        <v>0</v>
      </c>
      <c r="AH125" s="221">
        <f>-Предпосылки!Z348</f>
        <v>0</v>
      </c>
      <c r="AI125" s="221">
        <f>-Предпосылки!AA348</f>
        <v>0</v>
      </c>
      <c r="AJ125" s="221">
        <f>-Предпосылки!AB348</f>
        <v>0</v>
      </c>
      <c r="AK125" s="221">
        <f>-Предпосылки!AC348</f>
        <v>0</v>
      </c>
      <c r="AL125" s="221">
        <f>-Предпосылки!AD348</f>
        <v>0</v>
      </c>
      <c r="AM125" s="221">
        <f>-Предпосылки!AE348</f>
        <v>0</v>
      </c>
      <c r="AN125" s="221">
        <f>-Предпосылки!AF348</f>
        <v>0</v>
      </c>
      <c r="AO125" s="221">
        <f>-Предпосылки!AG348</f>
        <v>0</v>
      </c>
      <c r="AP125" s="60"/>
      <c r="AQ125" s="60"/>
      <c r="AR125" s="60"/>
      <c r="AS125" s="60"/>
      <c r="AT125" s="60"/>
    </row>
    <row r="126" spans="4:46" ht="20.25" customHeight="1">
      <c r="H126" s="120" t="s">
        <v>71</v>
      </c>
      <c r="I126" s="121" t="s">
        <v>29</v>
      </c>
      <c r="J126" s="225">
        <f t="shared" ref="J126:K126" si="158">J60+J74+J77+J82+J83+J123+J124</f>
        <v>-21761.203837295085</v>
      </c>
      <c r="K126" s="225">
        <f t="shared" si="158"/>
        <v>-10138.049321721315</v>
      </c>
      <c r="L126" s="224">
        <f>L60+L74+L77+L82+L83+L123+L124+L125</f>
        <v>-3.51</v>
      </c>
      <c r="M126" s="224">
        <f t="shared" ref="M126:AN126" si="159">M60+M74+M77+M82+M83+M123+M124+M125</f>
        <v>357.01915891393446</v>
      </c>
      <c r="N126" s="224">
        <f t="shared" si="159"/>
        <v>2362.2716589139345</v>
      </c>
      <c r="O126" s="224">
        <f t="shared" si="159"/>
        <v>-272.83084108606556</v>
      </c>
      <c r="P126" s="224">
        <f t="shared" si="159"/>
        <v>-86.028341086065552</v>
      </c>
      <c r="Q126" s="224">
        <f t="shared" si="159"/>
        <v>-580.91584108606571</v>
      </c>
      <c r="R126" s="224">
        <f t="shared" si="159"/>
        <v>-660.70834108606562</v>
      </c>
      <c r="S126" s="224">
        <f t="shared" si="159"/>
        <v>-681.23584108606542</v>
      </c>
      <c r="T126" s="224">
        <f t="shared" si="159"/>
        <v>-698.53084108606549</v>
      </c>
      <c r="U126" s="224">
        <f t="shared" si="159"/>
        <v>-716.36584108606542</v>
      </c>
      <c r="V126" s="224">
        <f t="shared" si="159"/>
        <v>-734.93584108606558</v>
      </c>
      <c r="W126" s="224">
        <f t="shared" si="159"/>
        <v>-753.64084108606562</v>
      </c>
      <c r="X126" s="224">
        <f t="shared" si="159"/>
        <v>-771.73834108606559</v>
      </c>
      <c r="Y126" s="224">
        <f t="shared" si="159"/>
        <v>-791.17084108606559</v>
      </c>
      <c r="Z126" s="224">
        <f t="shared" si="159"/>
        <v>-811.07584108606579</v>
      </c>
      <c r="AA126" s="224">
        <f t="shared" si="159"/>
        <v>-831.12334108606569</v>
      </c>
      <c r="AB126" s="224">
        <f t="shared" si="159"/>
        <v>-850.57084108606557</v>
      </c>
      <c r="AC126" s="224">
        <f t="shared" si="159"/>
        <v>-871.33834108606572</v>
      </c>
      <c r="AD126" s="224">
        <f t="shared" si="159"/>
        <v>-892.69084108606569</v>
      </c>
      <c r="AE126" s="224">
        <f t="shared" si="159"/>
        <v>-914.07334108606585</v>
      </c>
      <c r="AF126" s="224">
        <f t="shared" si="159"/>
        <v>-934.85584108606554</v>
      </c>
      <c r="AG126" s="224">
        <f t="shared" si="159"/>
        <v>-1371.7180644467214</v>
      </c>
      <c r="AH126" s="224">
        <f t="shared" si="159"/>
        <v>-1394.2555644467216</v>
      </c>
      <c r="AI126" s="224">
        <f t="shared" si="159"/>
        <v>-1417.1680644467215</v>
      </c>
      <c r="AJ126" s="224">
        <f t="shared" si="159"/>
        <v>-1440.1855644467214</v>
      </c>
      <c r="AK126" s="224">
        <f t="shared" si="159"/>
        <v>-1463.5855644467213</v>
      </c>
      <c r="AL126" s="224">
        <f t="shared" si="159"/>
        <v>-1487.6605644467215</v>
      </c>
      <c r="AM126" s="224">
        <f t="shared" si="159"/>
        <v>-1512.1105644467214</v>
      </c>
      <c r="AN126" s="224">
        <f t="shared" si="159"/>
        <v>-1536.4705644467213</v>
      </c>
      <c r="AO126" s="224">
        <f t="shared" ref="AO126" si="160">AO60+AO74+AO77+AO82+AO83+AO123+AO124</f>
        <v>-57.725564446721322</v>
      </c>
      <c r="AP126" s="60"/>
      <c r="AQ126" s="60"/>
      <c r="AR126" s="60"/>
      <c r="AS126" s="60"/>
      <c r="AT126" s="60"/>
    </row>
    <row r="127" spans="4:46" ht="20.25" customHeight="1">
      <c r="H127" s="60"/>
      <c r="I127" s="60"/>
      <c r="J127" s="60"/>
      <c r="K127" s="60"/>
      <c r="L127" s="228"/>
      <c r="M127" s="228"/>
      <c r="N127" s="228"/>
      <c r="O127" s="228"/>
      <c r="P127" s="228"/>
      <c r="Q127" s="228"/>
      <c r="R127" s="228"/>
      <c r="S127" s="228"/>
      <c r="T127" s="228"/>
      <c r="U127" s="228"/>
      <c r="V127" s="228"/>
      <c r="W127" s="228"/>
      <c r="X127" s="228"/>
      <c r="Y127" s="228"/>
      <c r="Z127" s="228"/>
      <c r="AA127" s="228"/>
      <c r="AB127" s="228"/>
      <c r="AC127" s="228"/>
      <c r="AD127" s="228"/>
      <c r="AE127" s="228"/>
      <c r="AF127" s="228"/>
      <c r="AG127" s="228"/>
      <c r="AH127" s="228"/>
      <c r="AI127" s="228"/>
      <c r="AJ127" s="228"/>
      <c r="AK127" s="228"/>
      <c r="AL127" s="228"/>
      <c r="AM127" s="228"/>
      <c r="AN127" s="228"/>
      <c r="AO127" s="228"/>
      <c r="AP127" s="60"/>
      <c r="AQ127" s="60"/>
      <c r="AR127" s="60"/>
      <c r="AS127" s="60"/>
      <c r="AT127" s="60"/>
    </row>
    <row r="128" spans="4:46" ht="20.25" customHeight="1">
      <c r="H128" s="120" t="s">
        <v>78</v>
      </c>
      <c r="I128" s="121" t="s">
        <v>29</v>
      </c>
      <c r="J128" s="225">
        <f>J57+J126</f>
        <v>-17143.335837295082</v>
      </c>
      <c r="K128" s="225">
        <f t="shared" ref="K128" si="161">K57+K126</f>
        <v>-5520.1813217213139</v>
      </c>
      <c r="L128" s="224">
        <f>L57+L126</f>
        <v>-3.51</v>
      </c>
      <c r="M128" s="224">
        <f t="shared" ref="M128:AO128" si="162">M57+M126</f>
        <v>357.01915891393446</v>
      </c>
      <c r="N128" s="224">
        <f>N57+N126</f>
        <v>2362.2716589139345</v>
      </c>
      <c r="O128" s="224">
        <f t="shared" si="162"/>
        <v>4345.0371589139359</v>
      </c>
      <c r="P128" s="224">
        <f t="shared" si="162"/>
        <v>-86.028341086065552</v>
      </c>
      <c r="Q128" s="224">
        <f t="shared" si="162"/>
        <v>-580.91584108606571</v>
      </c>
      <c r="R128" s="224">
        <f t="shared" si="162"/>
        <v>-660.70834108606562</v>
      </c>
      <c r="S128" s="224">
        <f t="shared" si="162"/>
        <v>-681.23584108606542</v>
      </c>
      <c r="T128" s="224">
        <f t="shared" si="162"/>
        <v>-698.53084108606549</v>
      </c>
      <c r="U128" s="224">
        <f t="shared" si="162"/>
        <v>-716.36584108606542</v>
      </c>
      <c r="V128" s="224">
        <f t="shared" si="162"/>
        <v>-734.93584108606558</v>
      </c>
      <c r="W128" s="224">
        <f t="shared" si="162"/>
        <v>-753.64084108606562</v>
      </c>
      <c r="X128" s="224">
        <f t="shared" si="162"/>
        <v>-771.73834108606559</v>
      </c>
      <c r="Y128" s="224">
        <f t="shared" si="162"/>
        <v>-791.17084108606559</v>
      </c>
      <c r="Z128" s="224">
        <f t="shared" si="162"/>
        <v>-811.07584108606579</v>
      </c>
      <c r="AA128" s="224">
        <f t="shared" si="162"/>
        <v>-831.12334108606569</v>
      </c>
      <c r="AB128" s="224">
        <f t="shared" si="162"/>
        <v>-850.57084108606557</v>
      </c>
      <c r="AC128" s="224">
        <f t="shared" si="162"/>
        <v>-871.33834108606572</v>
      </c>
      <c r="AD128" s="224">
        <f t="shared" si="162"/>
        <v>-892.69084108606569</v>
      </c>
      <c r="AE128" s="224">
        <f t="shared" si="162"/>
        <v>-914.07334108606585</v>
      </c>
      <c r="AF128" s="224">
        <f t="shared" si="162"/>
        <v>-934.85584108606554</v>
      </c>
      <c r="AG128" s="224">
        <f t="shared" si="162"/>
        <v>-1371.7180644467214</v>
      </c>
      <c r="AH128" s="224">
        <f t="shared" si="162"/>
        <v>-1394.2555644467216</v>
      </c>
      <c r="AI128" s="224">
        <f t="shared" si="162"/>
        <v>-1417.1680644467215</v>
      </c>
      <c r="AJ128" s="224">
        <f t="shared" si="162"/>
        <v>-1440.1855644467214</v>
      </c>
      <c r="AK128" s="224">
        <f t="shared" si="162"/>
        <v>-1463.5855644467213</v>
      </c>
      <c r="AL128" s="224">
        <f t="shared" si="162"/>
        <v>-1487.6605644467215</v>
      </c>
      <c r="AM128" s="224">
        <f t="shared" si="162"/>
        <v>-1512.1105644467214</v>
      </c>
      <c r="AN128" s="224">
        <f t="shared" si="162"/>
        <v>-1536.4705644467213</v>
      </c>
      <c r="AO128" s="224">
        <f t="shared" si="162"/>
        <v>-57.725564446721322</v>
      </c>
      <c r="AP128" s="60"/>
      <c r="AQ128" s="60"/>
      <c r="AR128" s="60"/>
      <c r="AS128" s="60"/>
      <c r="AT128" s="60"/>
    </row>
    <row r="129" spans="8:46" ht="20.25" customHeight="1"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60"/>
      <c r="AP129" s="60"/>
      <c r="AQ129" s="60"/>
      <c r="AR129" s="60"/>
      <c r="AS129" s="60"/>
      <c r="AT129" s="60"/>
    </row>
    <row r="130" spans="8:46" ht="21">
      <c r="H130" s="123" t="s">
        <v>79</v>
      </c>
      <c r="I130" s="124"/>
      <c r="J130" s="125"/>
      <c r="K130" s="125"/>
      <c r="L130" s="126"/>
      <c r="M130" s="126"/>
      <c r="N130" s="126"/>
      <c r="O130" s="126"/>
      <c r="P130" s="126"/>
      <c r="Q130" s="126"/>
      <c r="R130" s="126"/>
      <c r="S130" s="126"/>
      <c r="T130" s="126"/>
      <c r="U130" s="126"/>
      <c r="V130" s="126"/>
      <c r="W130" s="126"/>
      <c r="X130" s="126"/>
      <c r="Y130" s="126"/>
      <c r="Z130" s="126"/>
      <c r="AA130" s="126"/>
      <c r="AB130" s="126"/>
      <c r="AC130" s="126"/>
      <c r="AD130" s="126"/>
      <c r="AE130" s="126"/>
      <c r="AF130" s="126"/>
      <c r="AG130" s="126"/>
      <c r="AH130" s="126"/>
      <c r="AI130" s="126"/>
      <c r="AJ130" s="126"/>
      <c r="AK130" s="126"/>
      <c r="AL130" s="126"/>
      <c r="AM130" s="126"/>
      <c r="AN130" s="126"/>
      <c r="AO130" s="126"/>
      <c r="AP130" s="59"/>
      <c r="AQ130" s="59"/>
      <c r="AR130" s="59"/>
      <c r="AS130" s="59"/>
      <c r="AT130" s="59"/>
    </row>
    <row r="131" spans="8:46" ht="20.25" customHeight="1">
      <c r="H131" s="113" t="s">
        <v>77</v>
      </c>
      <c r="I131" s="114"/>
      <c r="J131" s="114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60"/>
      <c r="AT131" s="60"/>
    </row>
    <row r="132" spans="8:46" ht="20.25" customHeight="1">
      <c r="H132" s="105" t="s">
        <v>242</v>
      </c>
      <c r="I132" s="107" t="s">
        <v>29</v>
      </c>
      <c r="J132" s="115">
        <f t="shared" ref="J132" si="163">SUMIF($L$19:$AO$19,1,L132:AO132)</f>
        <v>-30000</v>
      </c>
      <c r="K132" s="115">
        <f t="shared" ref="K132" si="164">SUMIF($L$18:$AO$18,1,L132:AO132)</f>
        <v>-30000</v>
      </c>
      <c r="L132" s="108">
        <f>-Предпосылки!O79</f>
        <v>-9854.82</v>
      </c>
      <c r="M132" s="108">
        <f>-Предпосылки!P79</f>
        <v>-13963.43</v>
      </c>
      <c r="N132" s="108">
        <f>-Предпосылки!Q79</f>
        <v>-5742.57</v>
      </c>
      <c r="O132" s="108">
        <f>-Предпосылки!R79</f>
        <v>-439.18</v>
      </c>
      <c r="P132" s="108">
        <f>-Предпосылки!S79</f>
        <v>0</v>
      </c>
      <c r="Q132" s="108">
        <f>-Предпосылки!T79</f>
        <v>0</v>
      </c>
      <c r="R132" s="108">
        <f>-Предпосылки!U79</f>
        <v>0</v>
      </c>
      <c r="S132" s="108">
        <f>-Предпосылки!V79</f>
        <v>0</v>
      </c>
      <c r="T132" s="108">
        <f>-Предпосылки!W79</f>
        <v>0</v>
      </c>
      <c r="U132" s="221">
        <f>-Предпосылки!X79</f>
        <v>0</v>
      </c>
      <c r="V132" s="221">
        <f>-Предпосылки!Y79</f>
        <v>0</v>
      </c>
      <c r="W132" s="221">
        <f>-Предпосылки!Z79</f>
        <v>0</v>
      </c>
      <c r="X132" s="221">
        <f>-Предпосылки!AA79</f>
        <v>0</v>
      </c>
      <c r="Y132" s="221">
        <f>-Предпосылки!AB79</f>
        <v>0</v>
      </c>
      <c r="Z132" s="221">
        <f>-Предпосылки!AC79</f>
        <v>0</v>
      </c>
      <c r="AA132" s="221">
        <f>-Предпосылки!AD79</f>
        <v>0</v>
      </c>
      <c r="AB132" s="221">
        <f>-Предпосылки!AE79</f>
        <v>0</v>
      </c>
      <c r="AC132" s="221">
        <f>-Предпосылки!AF79</f>
        <v>0</v>
      </c>
      <c r="AD132" s="221">
        <f>-Предпосылки!AG79</f>
        <v>0</v>
      </c>
      <c r="AE132" s="221">
        <f>-Предпосылки!AH79</f>
        <v>0</v>
      </c>
      <c r="AF132" s="221">
        <f>-Предпосылки!AI79</f>
        <v>0</v>
      </c>
      <c r="AG132" s="221">
        <f>-Предпосылки!AJ79</f>
        <v>0</v>
      </c>
      <c r="AH132" s="221">
        <f>-Предпосылки!AK79</f>
        <v>0</v>
      </c>
      <c r="AI132" s="221">
        <f>-Предпосылки!AL79</f>
        <v>0</v>
      </c>
      <c r="AJ132" s="221">
        <f>-Предпосылки!AM79</f>
        <v>0</v>
      </c>
      <c r="AK132" s="221">
        <f>-Предпосылки!AN79</f>
        <v>0</v>
      </c>
      <c r="AL132" s="221">
        <f>-Предпосылки!AO79</f>
        <v>0</v>
      </c>
      <c r="AM132" s="221">
        <f>-Предпосылки!AP79</f>
        <v>0</v>
      </c>
      <c r="AN132" s="221">
        <f>-Предпосылки!AQ79</f>
        <v>0</v>
      </c>
      <c r="AO132" s="221">
        <f>-Предпосылки!AR79</f>
        <v>0</v>
      </c>
      <c r="AP132" s="60"/>
      <c r="AQ132" s="60"/>
      <c r="AR132" s="60"/>
      <c r="AS132" s="60"/>
      <c r="AT132" s="60"/>
    </row>
    <row r="133" spans="8:46" ht="20.25" customHeight="1">
      <c r="H133" s="120" t="s">
        <v>71</v>
      </c>
      <c r="I133" s="121" t="s">
        <v>29</v>
      </c>
      <c r="J133" s="225">
        <f t="shared" ref="J133" si="165">SUMIF($L$19:$AO$19,1,L133:AO133)</f>
        <v>-30000</v>
      </c>
      <c r="K133" s="225">
        <f t="shared" ref="K133" si="166">SUMIF($L$18:$AO$18,1,L133:AO133)</f>
        <v>-30000</v>
      </c>
      <c r="L133" s="225">
        <f>L132</f>
        <v>-9854.82</v>
      </c>
      <c r="M133" s="225">
        <f t="shared" ref="M133:AO133" si="167">M132</f>
        <v>-13963.43</v>
      </c>
      <c r="N133" s="225">
        <f>N132</f>
        <v>-5742.57</v>
      </c>
      <c r="O133" s="225">
        <f t="shared" si="167"/>
        <v>-439.18</v>
      </c>
      <c r="P133" s="225">
        <f t="shared" si="167"/>
        <v>0</v>
      </c>
      <c r="Q133" s="225">
        <f t="shared" si="167"/>
        <v>0</v>
      </c>
      <c r="R133" s="225">
        <f t="shared" si="167"/>
        <v>0</v>
      </c>
      <c r="S133" s="225">
        <f t="shared" si="167"/>
        <v>0</v>
      </c>
      <c r="T133" s="225">
        <f t="shared" si="167"/>
        <v>0</v>
      </c>
      <c r="U133" s="224">
        <f t="shared" si="167"/>
        <v>0</v>
      </c>
      <c r="V133" s="224">
        <f t="shared" si="167"/>
        <v>0</v>
      </c>
      <c r="W133" s="224">
        <f t="shared" si="167"/>
        <v>0</v>
      </c>
      <c r="X133" s="224">
        <f t="shared" si="167"/>
        <v>0</v>
      </c>
      <c r="Y133" s="224">
        <f t="shared" si="167"/>
        <v>0</v>
      </c>
      <c r="Z133" s="224">
        <f t="shared" si="167"/>
        <v>0</v>
      </c>
      <c r="AA133" s="224">
        <f t="shared" si="167"/>
        <v>0</v>
      </c>
      <c r="AB133" s="224">
        <f t="shared" si="167"/>
        <v>0</v>
      </c>
      <c r="AC133" s="224">
        <f t="shared" si="167"/>
        <v>0</v>
      </c>
      <c r="AD133" s="224">
        <f t="shared" si="167"/>
        <v>0</v>
      </c>
      <c r="AE133" s="224">
        <f t="shared" si="167"/>
        <v>0</v>
      </c>
      <c r="AF133" s="224">
        <f t="shared" si="167"/>
        <v>0</v>
      </c>
      <c r="AG133" s="224">
        <f t="shared" si="167"/>
        <v>0</v>
      </c>
      <c r="AH133" s="224">
        <f t="shared" si="167"/>
        <v>0</v>
      </c>
      <c r="AI133" s="224">
        <f t="shared" si="167"/>
        <v>0</v>
      </c>
      <c r="AJ133" s="224">
        <f t="shared" si="167"/>
        <v>0</v>
      </c>
      <c r="AK133" s="224">
        <f t="shared" si="167"/>
        <v>0</v>
      </c>
      <c r="AL133" s="224">
        <f t="shared" si="167"/>
        <v>0</v>
      </c>
      <c r="AM133" s="224">
        <f t="shared" si="167"/>
        <v>0</v>
      </c>
      <c r="AN133" s="224">
        <f t="shared" si="167"/>
        <v>0</v>
      </c>
      <c r="AO133" s="224">
        <f t="shared" si="167"/>
        <v>0</v>
      </c>
      <c r="AP133" s="60"/>
      <c r="AQ133" s="60"/>
      <c r="AR133" s="60"/>
      <c r="AS133" s="60"/>
      <c r="AT133" s="60"/>
    </row>
    <row r="134" spans="8:46" ht="20.25" customHeight="1"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228"/>
      <c r="V134" s="228"/>
      <c r="W134" s="228"/>
      <c r="X134" s="228"/>
      <c r="Y134" s="228"/>
      <c r="Z134" s="228"/>
      <c r="AA134" s="228"/>
      <c r="AB134" s="228"/>
      <c r="AC134" s="228"/>
      <c r="AD134" s="228"/>
      <c r="AE134" s="228"/>
      <c r="AF134" s="228"/>
      <c r="AG134" s="228"/>
      <c r="AH134" s="228"/>
      <c r="AI134" s="228"/>
      <c r="AJ134" s="228"/>
      <c r="AK134" s="228"/>
      <c r="AL134" s="228"/>
      <c r="AM134" s="228"/>
      <c r="AN134" s="228"/>
      <c r="AO134" s="228"/>
      <c r="AP134" s="60"/>
      <c r="AQ134" s="60"/>
      <c r="AR134" s="60"/>
      <c r="AS134" s="60"/>
      <c r="AT134" s="60"/>
    </row>
    <row r="135" spans="8:46" ht="20.25" customHeight="1">
      <c r="H135" s="120" t="s">
        <v>80</v>
      </c>
      <c r="I135" s="121" t="s">
        <v>29</v>
      </c>
      <c r="J135" s="225">
        <f t="shared" ref="J135" si="168">SUMIF($L$19:$AO$19,1,L135:AO135)</f>
        <v>-30000</v>
      </c>
      <c r="K135" s="225">
        <f t="shared" ref="K135" si="169">SUMIF($L$18:$AO$18,1,L135:AO135)</f>
        <v>-30000</v>
      </c>
      <c r="L135" s="225">
        <f>L133</f>
        <v>-9854.82</v>
      </c>
      <c r="M135" s="225">
        <f t="shared" ref="M135:AO135" si="170">M133</f>
        <v>-13963.43</v>
      </c>
      <c r="N135" s="225">
        <f t="shared" si="170"/>
        <v>-5742.57</v>
      </c>
      <c r="O135" s="225">
        <f t="shared" si="170"/>
        <v>-439.18</v>
      </c>
      <c r="P135" s="225">
        <f t="shared" si="170"/>
        <v>0</v>
      </c>
      <c r="Q135" s="225">
        <f t="shared" si="170"/>
        <v>0</v>
      </c>
      <c r="R135" s="225">
        <f t="shared" si="170"/>
        <v>0</v>
      </c>
      <c r="S135" s="225">
        <f t="shared" si="170"/>
        <v>0</v>
      </c>
      <c r="T135" s="225">
        <f t="shared" si="170"/>
        <v>0</v>
      </c>
      <c r="U135" s="224">
        <f t="shared" si="170"/>
        <v>0</v>
      </c>
      <c r="V135" s="224">
        <f t="shared" si="170"/>
        <v>0</v>
      </c>
      <c r="W135" s="224">
        <f t="shared" si="170"/>
        <v>0</v>
      </c>
      <c r="X135" s="224">
        <f t="shared" si="170"/>
        <v>0</v>
      </c>
      <c r="Y135" s="224">
        <f t="shared" si="170"/>
        <v>0</v>
      </c>
      <c r="Z135" s="224">
        <f t="shared" si="170"/>
        <v>0</v>
      </c>
      <c r="AA135" s="224">
        <f t="shared" si="170"/>
        <v>0</v>
      </c>
      <c r="AB135" s="224">
        <f t="shared" si="170"/>
        <v>0</v>
      </c>
      <c r="AC135" s="224">
        <f t="shared" si="170"/>
        <v>0</v>
      </c>
      <c r="AD135" s="224">
        <f t="shared" si="170"/>
        <v>0</v>
      </c>
      <c r="AE135" s="224">
        <f t="shared" si="170"/>
        <v>0</v>
      </c>
      <c r="AF135" s="224">
        <f t="shared" si="170"/>
        <v>0</v>
      </c>
      <c r="AG135" s="224">
        <f t="shared" si="170"/>
        <v>0</v>
      </c>
      <c r="AH135" s="224">
        <f t="shared" si="170"/>
        <v>0</v>
      </c>
      <c r="AI135" s="224">
        <f t="shared" si="170"/>
        <v>0</v>
      </c>
      <c r="AJ135" s="224">
        <f t="shared" si="170"/>
        <v>0</v>
      </c>
      <c r="AK135" s="224">
        <f t="shared" si="170"/>
        <v>0</v>
      </c>
      <c r="AL135" s="224">
        <f t="shared" si="170"/>
        <v>0</v>
      </c>
      <c r="AM135" s="224">
        <f t="shared" si="170"/>
        <v>0</v>
      </c>
      <c r="AN135" s="224">
        <f t="shared" si="170"/>
        <v>0</v>
      </c>
      <c r="AO135" s="224">
        <f t="shared" si="170"/>
        <v>0</v>
      </c>
      <c r="AP135" s="60"/>
      <c r="AQ135" s="60"/>
      <c r="AR135" s="60"/>
      <c r="AS135" s="60"/>
      <c r="AT135" s="60"/>
    </row>
    <row r="136" spans="8:46" ht="20.25" customHeight="1"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  <c r="AO136" s="60"/>
      <c r="AP136" s="60"/>
      <c r="AQ136" s="60"/>
      <c r="AR136" s="60"/>
      <c r="AS136" s="60"/>
      <c r="AT136" s="60"/>
    </row>
    <row r="137" spans="8:46" ht="21">
      <c r="H137" s="123" t="s">
        <v>81</v>
      </c>
      <c r="I137" s="124"/>
      <c r="J137" s="125"/>
      <c r="K137" s="125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  <c r="AD137" s="126"/>
      <c r="AE137" s="126"/>
      <c r="AF137" s="126"/>
      <c r="AG137" s="126"/>
      <c r="AH137" s="126"/>
      <c r="AI137" s="126"/>
      <c r="AJ137" s="126"/>
      <c r="AK137" s="126"/>
      <c r="AL137" s="126"/>
      <c r="AM137" s="126"/>
      <c r="AN137" s="126"/>
      <c r="AO137" s="126"/>
      <c r="AP137" s="59"/>
      <c r="AQ137" s="59"/>
      <c r="AR137" s="59"/>
      <c r="AS137" s="59"/>
      <c r="AT137" s="59"/>
    </row>
    <row r="138" spans="8:46" ht="20.25" customHeight="1">
      <c r="H138" s="113" t="s">
        <v>76</v>
      </c>
      <c r="I138" s="114"/>
      <c r="J138" s="114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  <c r="AN138" s="59"/>
      <c r="AO138" s="59"/>
      <c r="AP138" s="59"/>
      <c r="AQ138" s="59"/>
      <c r="AR138" s="59"/>
      <c r="AS138" s="60"/>
      <c r="AT138" s="60"/>
    </row>
    <row r="139" spans="8:46" ht="20.25" customHeight="1">
      <c r="H139" s="105" t="s">
        <v>243</v>
      </c>
      <c r="I139" s="107" t="s">
        <v>29</v>
      </c>
      <c r="J139" s="115">
        <f t="shared" ref="J139:J140" si="171">SUMIF($L$19:$AO$19,1,L139:AO139)</f>
        <v>5000</v>
      </c>
      <c r="K139" s="115">
        <f t="shared" ref="K139:K140" si="172">SUMIF($L$18:$AO$18,1,L139:AO139)</f>
        <v>5000</v>
      </c>
      <c r="L139" s="108">
        <f>+Предпосылки!D335+Предпосылки!D339+Предпосылки!D336+Предпосылки!D337+Предпосылки!D338</f>
        <v>5000</v>
      </c>
      <c r="M139" s="108">
        <f>+Предпосылки!E335+Предпосылки!E339+Предпосылки!E336+Предпосылки!E337+Предпосылки!E338</f>
        <v>0</v>
      </c>
      <c r="N139" s="108">
        <f>+Предпосылки!F335+Предпосылки!F339+Предпосылки!F336+Предпосылки!F337+Предпосылки!F338</f>
        <v>0</v>
      </c>
      <c r="O139" s="108">
        <f>+Предпосылки!G335+Предпосылки!G339+Предпосылки!G336+Предпосылки!G337+Предпосылки!G338</f>
        <v>0</v>
      </c>
      <c r="P139" s="108">
        <f>+Предпосылки!H335+Предпосылки!H339+Предпосылки!H336+Предпосылки!H337+Предпосылки!H338</f>
        <v>0</v>
      </c>
      <c r="Q139" s="108">
        <f>+Предпосылки!I335+Предпосылки!I339+Предпосылки!I336+Предпосылки!I337+Предпосылки!I338</f>
        <v>0</v>
      </c>
      <c r="R139" s="108">
        <f>+Предпосылки!J335+Предпосылки!J339+Предпосылки!J336+Предпосылки!J337+Предпосылки!J338</f>
        <v>0</v>
      </c>
      <c r="S139" s="108">
        <f>+Предпосылки!K335+Предпосылки!K339+Предпосылки!K336+Предпосылки!K337+Предпосылки!K338</f>
        <v>0</v>
      </c>
      <c r="T139" s="108">
        <f>+Предпосылки!L335+Предпосылки!L339+Предпосылки!L336+Предпосылки!L337+Предпосылки!L338</f>
        <v>0</v>
      </c>
      <c r="U139" s="221">
        <f>+Предпосылки!M335+Предпосылки!M339+Предпосылки!M336+Предпосылки!M337+Предпосылки!M338</f>
        <v>0</v>
      </c>
      <c r="V139" s="221">
        <f>+Предпосылки!N335+Предпосылки!N339+Предпосылки!N336+Предпосылки!N337+Предпосылки!N338</f>
        <v>0</v>
      </c>
      <c r="W139" s="221">
        <f>+Предпосылки!O335+Предпосылки!O339+Предпосылки!O336+Предпосылки!O337+Предпосылки!O338</f>
        <v>0</v>
      </c>
      <c r="X139" s="221">
        <f>+Предпосылки!P335+Предпосылки!P339+Предпосылки!P336+Предпосылки!P337+Предпосылки!P338</f>
        <v>0</v>
      </c>
      <c r="Y139" s="221">
        <f>+Предпосылки!Q335+Предпосылки!Q339+Предпосылки!Q336+Предпосылки!Q337+Предпосылки!Q338</f>
        <v>0</v>
      </c>
      <c r="Z139" s="221">
        <f>+Предпосылки!R335+Предпосылки!R339+Предпосылки!R336+Предпосылки!R337+Предпосылки!R338</f>
        <v>0</v>
      </c>
      <c r="AA139" s="221">
        <f>+Предпосылки!S335+Предпосылки!S339+Предпосылки!S336+Предпосылки!S337+Предпосылки!S338</f>
        <v>0</v>
      </c>
      <c r="AB139" s="221">
        <f>+Предпосылки!T335+Предпосылки!T339+Предпосылки!T336+Предпосылки!T337+Предпосылки!T338</f>
        <v>0</v>
      </c>
      <c r="AC139" s="221">
        <f>+Предпосылки!U335+Предпосылки!U339+Предпосылки!U336+Предпосылки!U337+Предпосылки!U338</f>
        <v>0</v>
      </c>
      <c r="AD139" s="221">
        <f>+Предпосылки!V335+Предпосылки!V339+Предпосылки!V336+Предпосылки!V337+Предпосылки!V338</f>
        <v>0</v>
      </c>
      <c r="AE139" s="221">
        <f>+Предпосылки!W335+Предпосылки!W339+Предпосылки!W336+Предпосылки!W337+Предпосылки!W338</f>
        <v>0</v>
      </c>
      <c r="AF139" s="221">
        <f>+Предпосылки!X335+Предпосылки!X339+Предпосылки!X336+Предпосылки!X337+Предпосылки!X338</f>
        <v>0</v>
      </c>
      <c r="AG139" s="221">
        <f>+Предпосылки!Y335+Предпосылки!Y339+Предпосылки!Y336+Предпосылки!Y337+Предпосылки!Y338</f>
        <v>0</v>
      </c>
      <c r="AH139" s="221">
        <f>+Предпосылки!Z335+Предпосылки!Z339+Предпосылки!Z336+Предпосылки!Z337+Предпосылки!Z338</f>
        <v>0</v>
      </c>
      <c r="AI139" s="221">
        <f>+Предпосылки!AA335+Предпосылки!AA339+Предпосылки!AA336+Предпосылки!AA337+Предпосылки!AA338</f>
        <v>0</v>
      </c>
      <c r="AJ139" s="221">
        <f>+Предпосылки!AB335+Предпосылки!AB339+Предпосылки!AB336+Предпосылки!AB337+Предпосылки!AB338</f>
        <v>0</v>
      </c>
      <c r="AK139" s="221">
        <f>+Предпосылки!AC335+Предпосылки!AC339+Предпосылки!AC336+Предпосылки!AC337+Предпосылки!AC338</f>
        <v>0</v>
      </c>
      <c r="AL139" s="221">
        <f>+Предпосылки!AD335+Предпосылки!AD339+Предпосылки!AD336+Предпосылки!AD337+Предпосылки!AD338</f>
        <v>0</v>
      </c>
      <c r="AM139" s="221">
        <f>+Предпосылки!AE335+Предпосылки!AE339+Предпосылки!AE336+Предпосылки!AE337+Предпосылки!AE338</f>
        <v>0</v>
      </c>
      <c r="AN139" s="221">
        <f>+Предпосылки!AF335+Предпосылки!AF339+Предпосылки!AF336+Предпосылки!AF337+Предпосылки!AF338</f>
        <v>0</v>
      </c>
      <c r="AO139" s="221">
        <f>+Предпосылки!AG335+Предпосылки!AG339+Предпосылки!AG336+Предпосылки!AG337+Предпосылки!AG338</f>
        <v>0</v>
      </c>
      <c r="AP139" s="60"/>
      <c r="AQ139" s="60"/>
      <c r="AR139" s="60"/>
      <c r="AS139" s="60"/>
      <c r="AT139" s="60"/>
    </row>
    <row r="140" spans="8:46" ht="20.25" customHeight="1">
      <c r="H140" s="105" t="s">
        <v>244</v>
      </c>
      <c r="I140" s="107" t="s">
        <v>29</v>
      </c>
      <c r="J140" s="115">
        <f t="shared" si="171"/>
        <v>0</v>
      </c>
      <c r="K140" s="115">
        <f t="shared" si="172"/>
        <v>0</v>
      </c>
      <c r="L140" s="108">
        <f>Предпосылки!D334</f>
        <v>0</v>
      </c>
      <c r="M140" s="108">
        <f>Предпосылки!E334+Предпосылки!E335</f>
        <v>0</v>
      </c>
      <c r="N140" s="108">
        <f>Предпосылки!F334+Предпосылки!F335</f>
        <v>0</v>
      </c>
      <c r="O140" s="108">
        <f>Предпосылки!G334+Предпосылки!G335</f>
        <v>0</v>
      </c>
      <c r="P140" s="108">
        <f>Предпосылки!H334+Предпосылки!H335</f>
        <v>0</v>
      </c>
      <c r="Q140" s="108">
        <f>Предпосылки!I334+Предпосылки!I335</f>
        <v>0</v>
      </c>
      <c r="R140" s="108">
        <f>Предпосылки!J334+Предпосылки!J335</f>
        <v>0</v>
      </c>
      <c r="S140" s="108">
        <f>Предпосылки!K334+Предпосылки!K335</f>
        <v>0</v>
      </c>
      <c r="T140" s="108">
        <f>Предпосылки!L334+Предпосылки!L335</f>
        <v>0</v>
      </c>
      <c r="U140" s="221">
        <f>Предпосылки!M334+Предпосылки!M335</f>
        <v>0</v>
      </c>
      <c r="V140" s="221">
        <f>Предпосылки!N334+Предпосылки!N335</f>
        <v>0</v>
      </c>
      <c r="W140" s="221">
        <f>Предпосылки!O334+Предпосылки!O335</f>
        <v>0</v>
      </c>
      <c r="X140" s="221">
        <f>Предпосылки!P334+Предпосылки!P335</f>
        <v>0</v>
      </c>
      <c r="Y140" s="221">
        <f>Предпосылки!Q334+Предпосылки!Q335</f>
        <v>0</v>
      </c>
      <c r="Z140" s="221">
        <f>Предпосылки!R334+Предпосылки!R335</f>
        <v>0</v>
      </c>
      <c r="AA140" s="221">
        <f>Предпосылки!S334+Предпосылки!S335</f>
        <v>0</v>
      </c>
      <c r="AB140" s="221">
        <f>Предпосылки!T334+Предпосылки!T335</f>
        <v>0</v>
      </c>
      <c r="AC140" s="221">
        <f>Предпосылки!U334+Предпосылки!U335</f>
        <v>0</v>
      </c>
      <c r="AD140" s="221">
        <f>Предпосылки!V334+Предпосылки!V335</f>
        <v>0</v>
      </c>
      <c r="AE140" s="221">
        <f>Предпосылки!W334+Предпосылки!W335</f>
        <v>0</v>
      </c>
      <c r="AF140" s="221">
        <f>Предпосылки!X334+Предпосылки!X335</f>
        <v>0</v>
      </c>
      <c r="AG140" s="221">
        <f>Предпосылки!Y334+Предпосылки!Y335</f>
        <v>0</v>
      </c>
      <c r="AH140" s="221">
        <f>Предпосылки!Z334+Предпосылки!Z335</f>
        <v>0</v>
      </c>
      <c r="AI140" s="221">
        <f>Предпосылки!AA334+Предпосылки!AA335</f>
        <v>0</v>
      </c>
      <c r="AJ140" s="221">
        <f>Предпосылки!AB334+Предпосылки!AB335</f>
        <v>0</v>
      </c>
      <c r="AK140" s="221">
        <f>Предпосылки!AC334+Предпосылки!AC335</f>
        <v>0</v>
      </c>
      <c r="AL140" s="221">
        <f>Предпосылки!AD334+Предпосылки!AD335</f>
        <v>0</v>
      </c>
      <c r="AM140" s="221">
        <f>Предпосылки!AE334+Предпосылки!AE335</f>
        <v>0</v>
      </c>
      <c r="AN140" s="221">
        <f>Предпосылки!AF334+Предпосылки!AF335</f>
        <v>0</v>
      </c>
      <c r="AO140" s="221">
        <f>Предпосылки!AG334+Предпосылки!AG335</f>
        <v>0</v>
      </c>
      <c r="AP140" s="60"/>
      <c r="AQ140" s="60"/>
      <c r="AR140" s="60"/>
    </row>
    <row r="141" spans="8:46" ht="20.25" customHeight="1">
      <c r="H141" s="120" t="s">
        <v>71</v>
      </c>
      <c r="I141" s="121" t="s">
        <v>29</v>
      </c>
      <c r="J141" s="225">
        <f t="shared" ref="J141:K141" si="173">SUM(J139:J140)</f>
        <v>5000</v>
      </c>
      <c r="K141" s="225">
        <f t="shared" si="173"/>
        <v>5000</v>
      </c>
      <c r="L141" s="225">
        <f>SUM(L139:L140)</f>
        <v>5000</v>
      </c>
      <c r="M141" s="225">
        <f t="shared" ref="M141:AO141" si="174">SUM(M139:M140)</f>
        <v>0</v>
      </c>
      <c r="N141" s="225">
        <f t="shared" si="174"/>
        <v>0</v>
      </c>
      <c r="O141" s="225">
        <f t="shared" si="174"/>
        <v>0</v>
      </c>
      <c r="P141" s="225">
        <f t="shared" si="174"/>
        <v>0</v>
      </c>
      <c r="Q141" s="225">
        <f t="shared" si="174"/>
        <v>0</v>
      </c>
      <c r="R141" s="225">
        <f t="shared" si="174"/>
        <v>0</v>
      </c>
      <c r="S141" s="225">
        <f t="shared" si="174"/>
        <v>0</v>
      </c>
      <c r="T141" s="225">
        <f t="shared" si="174"/>
        <v>0</v>
      </c>
      <c r="U141" s="224">
        <f t="shared" si="174"/>
        <v>0</v>
      </c>
      <c r="V141" s="224">
        <f t="shared" si="174"/>
        <v>0</v>
      </c>
      <c r="W141" s="224">
        <f t="shared" si="174"/>
        <v>0</v>
      </c>
      <c r="X141" s="224">
        <f t="shared" si="174"/>
        <v>0</v>
      </c>
      <c r="Y141" s="224">
        <f t="shared" si="174"/>
        <v>0</v>
      </c>
      <c r="Z141" s="224">
        <f t="shared" si="174"/>
        <v>0</v>
      </c>
      <c r="AA141" s="224">
        <f t="shared" si="174"/>
        <v>0</v>
      </c>
      <c r="AB141" s="224">
        <f t="shared" si="174"/>
        <v>0</v>
      </c>
      <c r="AC141" s="224">
        <f t="shared" si="174"/>
        <v>0</v>
      </c>
      <c r="AD141" s="224">
        <f t="shared" si="174"/>
        <v>0</v>
      </c>
      <c r="AE141" s="224">
        <f t="shared" si="174"/>
        <v>0</v>
      </c>
      <c r="AF141" s="224">
        <f t="shared" si="174"/>
        <v>0</v>
      </c>
      <c r="AG141" s="224">
        <f t="shared" si="174"/>
        <v>0</v>
      </c>
      <c r="AH141" s="224">
        <f t="shared" si="174"/>
        <v>0</v>
      </c>
      <c r="AI141" s="224">
        <f t="shared" si="174"/>
        <v>0</v>
      </c>
      <c r="AJ141" s="224">
        <f t="shared" si="174"/>
        <v>0</v>
      </c>
      <c r="AK141" s="224">
        <f t="shared" si="174"/>
        <v>0</v>
      </c>
      <c r="AL141" s="224">
        <f t="shared" si="174"/>
        <v>0</v>
      </c>
      <c r="AM141" s="224">
        <f t="shared" si="174"/>
        <v>0</v>
      </c>
      <c r="AN141" s="224">
        <f t="shared" si="174"/>
        <v>0</v>
      </c>
      <c r="AO141" s="224">
        <f t="shared" si="174"/>
        <v>0</v>
      </c>
      <c r="AP141" s="60"/>
      <c r="AQ141" s="60"/>
      <c r="AR141" s="60"/>
      <c r="AS141" s="60"/>
      <c r="AT141" s="60"/>
    </row>
    <row r="142" spans="8:46" ht="20.25" customHeight="1"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228"/>
      <c r="V142" s="228"/>
      <c r="W142" s="228"/>
      <c r="X142" s="228"/>
      <c r="Y142" s="228"/>
      <c r="Z142" s="228"/>
      <c r="AA142" s="228"/>
      <c r="AB142" s="228"/>
      <c r="AC142" s="228"/>
      <c r="AD142" s="228"/>
      <c r="AE142" s="228"/>
      <c r="AF142" s="228"/>
      <c r="AG142" s="228"/>
      <c r="AH142" s="228"/>
      <c r="AI142" s="228"/>
      <c r="AJ142" s="228"/>
      <c r="AK142" s="228"/>
      <c r="AL142" s="228"/>
      <c r="AM142" s="228"/>
      <c r="AN142" s="228"/>
      <c r="AO142" s="228"/>
      <c r="AP142" s="60"/>
      <c r="AQ142" s="60"/>
      <c r="AR142" s="60"/>
    </row>
    <row r="143" spans="8:46" ht="20.25" customHeight="1">
      <c r="H143" s="113" t="s">
        <v>77</v>
      </c>
      <c r="I143" s="114"/>
      <c r="J143" s="114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  <c r="AJ143" s="229"/>
      <c r="AK143" s="229"/>
      <c r="AL143" s="229"/>
      <c r="AM143" s="229"/>
      <c r="AN143" s="229"/>
      <c r="AO143" s="229"/>
      <c r="AP143" s="59"/>
      <c r="AQ143" s="59"/>
      <c r="AR143" s="59"/>
    </row>
    <row r="144" spans="8:46" ht="20.25" customHeight="1">
      <c r="H144" s="105" t="s">
        <v>226</v>
      </c>
      <c r="I144" s="107" t="s">
        <v>29</v>
      </c>
      <c r="J144" s="115">
        <f t="shared" ref="J144:J145" si="175">SUMIF($L$19:$AO$19,1,L144:AO144)</f>
        <v>-5000</v>
      </c>
      <c r="K144" s="115">
        <f t="shared" ref="K144:K145" si="176">SUMIF($L$18:$AO$18,1,L144:AO144)</f>
        <v>-5000</v>
      </c>
      <c r="L144" s="108">
        <f>-Предпосылки!D340</f>
        <v>0</v>
      </c>
      <c r="M144" s="108">
        <f>-Предпосылки!E340</f>
        <v>0</v>
      </c>
      <c r="N144" s="108">
        <f>-Предпосылки!F340</f>
        <v>0</v>
      </c>
      <c r="O144" s="108">
        <f>-Предпосылки!G340</f>
        <v>0</v>
      </c>
      <c r="P144" s="108">
        <f>-Предпосылки!H340</f>
        <v>0</v>
      </c>
      <c r="Q144" s="108">
        <f>-Предпосылки!I340</f>
        <v>0</v>
      </c>
      <c r="R144" s="108">
        <f>-Предпосылки!J340</f>
        <v>0</v>
      </c>
      <c r="S144" s="108">
        <f>-Предпосылки!K340</f>
        <v>0</v>
      </c>
      <c r="T144" s="108">
        <f>-Предпосылки!L340</f>
        <v>0</v>
      </c>
      <c r="U144" s="221">
        <f>-Предпосылки!M340</f>
        <v>0</v>
      </c>
      <c r="V144" s="221">
        <f>-Предпосылки!N340</f>
        <v>0</v>
      </c>
      <c r="W144" s="221">
        <f>-Предпосылки!O340</f>
        <v>0</v>
      </c>
      <c r="X144" s="221">
        <f>-Предпосылки!P340</f>
        <v>-625</v>
      </c>
      <c r="Y144" s="221">
        <f>-Предпосылки!Q340</f>
        <v>-625</v>
      </c>
      <c r="Z144" s="221">
        <f>-Предпосылки!R340</f>
        <v>-625</v>
      </c>
      <c r="AA144" s="221">
        <f>-Предпосылки!S340</f>
        <v>0</v>
      </c>
      <c r="AB144" s="221">
        <f>-Предпосылки!T340</f>
        <v>-1250</v>
      </c>
      <c r="AC144" s="221">
        <f>-Предпосылки!U340</f>
        <v>-625</v>
      </c>
      <c r="AD144" s="221">
        <f>-Предпосылки!V340</f>
        <v>-625</v>
      </c>
      <c r="AE144" s="221">
        <f>-Предпосылки!W340</f>
        <v>0</v>
      </c>
      <c r="AF144" s="221">
        <f>-Предпосылки!X340</f>
        <v>-625</v>
      </c>
      <c r="AG144" s="221">
        <f>-Предпосылки!Y340</f>
        <v>0</v>
      </c>
      <c r="AH144" s="221">
        <f>-Предпосылки!Z340</f>
        <v>0</v>
      </c>
      <c r="AI144" s="221">
        <f>-Предпосылки!AA340</f>
        <v>0</v>
      </c>
      <c r="AJ144" s="221">
        <f>-Предпосылки!AB340</f>
        <v>0</v>
      </c>
      <c r="AK144" s="221">
        <f>-Предпосылки!AC340</f>
        <v>0</v>
      </c>
      <c r="AL144" s="221">
        <f>-Предпосылки!AD340</f>
        <v>0</v>
      </c>
      <c r="AM144" s="221">
        <f>-Предпосылки!AE340</f>
        <v>0</v>
      </c>
      <c r="AN144" s="221">
        <f>-Предпосылки!AF340</f>
        <v>0</v>
      </c>
      <c r="AO144" s="221">
        <f>-Предпосылки!AG340</f>
        <v>0</v>
      </c>
      <c r="AP144" s="60"/>
      <c r="AQ144" s="60"/>
      <c r="AR144" s="60"/>
    </row>
    <row r="145" spans="8:46" ht="20.25" customHeight="1">
      <c r="H145" s="105" t="s">
        <v>227</v>
      </c>
      <c r="I145" s="107" t="s">
        <v>29</v>
      </c>
      <c r="J145" s="115">
        <f t="shared" si="175"/>
        <v>-986.9863013698631</v>
      </c>
      <c r="K145" s="115">
        <f t="shared" si="176"/>
        <v>-986.9863013698631</v>
      </c>
      <c r="L145" s="108">
        <f>-Предпосылки!D346-L125</f>
        <v>-9.589041095890412</v>
      </c>
      <c r="M145" s="108">
        <f>-Предпосылки!E346-M125</f>
        <v>-62.328767123287669</v>
      </c>
      <c r="N145" s="108">
        <f>-Предпосылки!F346-N125</f>
        <v>-63.013698630136986</v>
      </c>
      <c r="O145" s="108">
        <f>-Предпосылки!G346-O125</f>
        <v>-73.287671232876718</v>
      </c>
      <c r="P145" s="108">
        <f>-Предпосылки!H346-P125</f>
        <v>-51.369863013698627</v>
      </c>
      <c r="Q145" s="108">
        <f>-Предпосылки!I346-Q125</f>
        <v>-62.328767123287669</v>
      </c>
      <c r="R145" s="108">
        <f>-Предпосылки!J346-R125</f>
        <v>-63.013698630136986</v>
      </c>
      <c r="S145" s="108">
        <f>-Предпосылки!K346-S125</f>
        <v>-73.287671232876718</v>
      </c>
      <c r="T145" s="108">
        <f>-Предпосылки!L346-T125</f>
        <v>-52.054794520547944</v>
      </c>
      <c r="U145" s="108">
        <f>-Предпосылки!M346-U125</f>
        <v>-62.328767123287669</v>
      </c>
      <c r="V145" s="108">
        <f>-Предпосылки!N346-V125</f>
        <v>-63.013698630136986</v>
      </c>
      <c r="W145" s="108">
        <f>-Предпосылки!O346-W125</f>
        <v>-73.287671232876718</v>
      </c>
      <c r="X145" s="108">
        <f>-Предпосылки!P346-X125</f>
        <v>-51.369863013698627</v>
      </c>
      <c r="Y145" s="108">
        <f>-Предпосылки!Q346-Y125</f>
        <v>-54.537671232876711</v>
      </c>
      <c r="Z145" s="108">
        <f>-Предпосылки!R346-Z125</f>
        <v>-47.260273972602739</v>
      </c>
      <c r="AA145" s="108">
        <f>-Предпосылки!S346-AA125</f>
        <v>-45.804794520547944</v>
      </c>
      <c r="AB145" s="108">
        <f>-Предпосылки!T346-AB125</f>
        <v>-25.684931506849313</v>
      </c>
      <c r="AC145" s="108">
        <f>-Предпосылки!U346-AC125</f>
        <v>-23.373287671232877</v>
      </c>
      <c r="AD145" s="108">
        <f>-Предпосылки!V346-AD125</f>
        <v>-15.753424657534246</v>
      </c>
      <c r="AE145" s="108">
        <f>-Предпосылки!W346-AE125</f>
        <v>-9.1609589041095898</v>
      </c>
      <c r="AF145" s="108">
        <f>-Предпосылки!X346-AF125</f>
        <v>-5.1369863013698627</v>
      </c>
      <c r="AG145" s="108">
        <f>-Предпосылки!Y346-AG125</f>
        <v>0</v>
      </c>
      <c r="AH145" s="108">
        <f>-Предпосылки!Z346-AH125</f>
        <v>0</v>
      </c>
      <c r="AI145" s="108">
        <f>-Предпосылки!AA346-AI125</f>
        <v>0</v>
      </c>
      <c r="AJ145" s="108">
        <f>-Предпосылки!AB346-AJ125</f>
        <v>0</v>
      </c>
      <c r="AK145" s="108">
        <f>-Предпосылки!AC346-AK125</f>
        <v>0</v>
      </c>
      <c r="AL145" s="108">
        <f>-Предпосылки!AD346-AL125</f>
        <v>0</v>
      </c>
      <c r="AM145" s="108">
        <f>-Предпосылки!AE346-AM125</f>
        <v>0</v>
      </c>
      <c r="AN145" s="108">
        <f>-Предпосылки!AF346-AN125</f>
        <v>0</v>
      </c>
      <c r="AO145" s="108">
        <f>-Предпосылки!AG346-AO125</f>
        <v>0</v>
      </c>
      <c r="AP145" s="60"/>
      <c r="AQ145" s="60"/>
      <c r="AR145" s="60"/>
    </row>
    <row r="146" spans="8:46" ht="20.25" customHeight="1">
      <c r="H146" s="120" t="s">
        <v>71</v>
      </c>
      <c r="I146" s="121" t="s">
        <v>29</v>
      </c>
      <c r="J146" s="225">
        <f t="shared" ref="J146" si="177">SUM(J144:J145)</f>
        <v>-5986.9863013698632</v>
      </c>
      <c r="K146" s="225">
        <f t="shared" ref="K146" si="178">SUM(K144:K145)</f>
        <v>-5986.9863013698632</v>
      </c>
      <c r="L146" s="225">
        <f>SUM(L144:L145)</f>
        <v>-9.589041095890412</v>
      </c>
      <c r="M146" s="225">
        <f t="shared" ref="M146:AO146" si="179">SUM(M144:M145)</f>
        <v>-62.328767123287669</v>
      </c>
      <c r="N146" s="225">
        <f t="shared" si="179"/>
        <v>-63.013698630136986</v>
      </c>
      <c r="O146" s="225">
        <f t="shared" si="179"/>
        <v>-73.287671232876718</v>
      </c>
      <c r="P146" s="225">
        <f t="shared" si="179"/>
        <v>-51.369863013698627</v>
      </c>
      <c r="Q146" s="225">
        <f t="shared" si="179"/>
        <v>-62.328767123287669</v>
      </c>
      <c r="R146" s="225">
        <f t="shared" si="179"/>
        <v>-63.013698630136986</v>
      </c>
      <c r="S146" s="225">
        <f t="shared" si="179"/>
        <v>-73.287671232876718</v>
      </c>
      <c r="T146" s="225">
        <f t="shared" si="179"/>
        <v>-52.054794520547944</v>
      </c>
      <c r="U146" s="224">
        <f t="shared" si="179"/>
        <v>-62.328767123287669</v>
      </c>
      <c r="V146" s="224">
        <f t="shared" si="179"/>
        <v>-63.013698630136986</v>
      </c>
      <c r="W146" s="224">
        <f t="shared" si="179"/>
        <v>-73.287671232876718</v>
      </c>
      <c r="X146" s="224">
        <f t="shared" si="179"/>
        <v>-676.36986301369859</v>
      </c>
      <c r="Y146" s="224">
        <f t="shared" si="179"/>
        <v>-679.53767123287673</v>
      </c>
      <c r="Z146" s="224">
        <f t="shared" si="179"/>
        <v>-672.2602739726027</v>
      </c>
      <c r="AA146" s="224">
        <f t="shared" si="179"/>
        <v>-45.804794520547944</v>
      </c>
      <c r="AB146" s="224">
        <f t="shared" si="179"/>
        <v>-1275.6849315068494</v>
      </c>
      <c r="AC146" s="224">
        <f t="shared" si="179"/>
        <v>-648.3732876712329</v>
      </c>
      <c r="AD146" s="224">
        <f t="shared" si="179"/>
        <v>-640.7534246575342</v>
      </c>
      <c r="AE146" s="224">
        <f t="shared" si="179"/>
        <v>-9.1609589041095898</v>
      </c>
      <c r="AF146" s="224">
        <f t="shared" si="179"/>
        <v>-630.13698630136992</v>
      </c>
      <c r="AG146" s="224">
        <f t="shared" si="179"/>
        <v>0</v>
      </c>
      <c r="AH146" s="224">
        <f t="shared" si="179"/>
        <v>0</v>
      </c>
      <c r="AI146" s="224">
        <f t="shared" si="179"/>
        <v>0</v>
      </c>
      <c r="AJ146" s="224">
        <f t="shared" si="179"/>
        <v>0</v>
      </c>
      <c r="AK146" s="224">
        <f t="shared" si="179"/>
        <v>0</v>
      </c>
      <c r="AL146" s="224">
        <f t="shared" si="179"/>
        <v>0</v>
      </c>
      <c r="AM146" s="224">
        <f t="shared" si="179"/>
        <v>0</v>
      </c>
      <c r="AN146" s="224">
        <f t="shared" si="179"/>
        <v>0</v>
      </c>
      <c r="AO146" s="224">
        <f t="shared" si="179"/>
        <v>0</v>
      </c>
      <c r="AP146" s="60"/>
      <c r="AQ146" s="60"/>
      <c r="AR146" s="60"/>
      <c r="AS146" s="60"/>
      <c r="AT146" s="60"/>
    </row>
    <row r="147" spans="8:46" ht="20.25" customHeight="1"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</row>
    <row r="148" spans="8:46" ht="20.25" customHeight="1">
      <c r="H148" s="120" t="s">
        <v>83</v>
      </c>
      <c r="I148" s="121" t="s">
        <v>29</v>
      </c>
      <c r="J148" s="225">
        <f t="shared" ref="J148" si="180">SUMIF($L$19:$AO$19,1,L148:AO148)</f>
        <v>-986.98630136986253</v>
      </c>
      <c r="K148" s="225">
        <f t="shared" ref="K148" si="181">SUMIF($L$18:$AO$18,1,L148:AO148)</f>
        <v>-986.98630136986253</v>
      </c>
      <c r="L148" s="225">
        <f>L141+L146</f>
        <v>4990.41095890411</v>
      </c>
      <c r="M148" s="225">
        <f t="shared" ref="M148:AO148" si="182">M141+M146</f>
        <v>-62.328767123287669</v>
      </c>
      <c r="N148" s="225">
        <f t="shared" si="182"/>
        <v>-63.013698630136986</v>
      </c>
      <c r="O148" s="225">
        <f t="shared" si="182"/>
        <v>-73.287671232876718</v>
      </c>
      <c r="P148" s="225">
        <f t="shared" si="182"/>
        <v>-51.369863013698627</v>
      </c>
      <c r="Q148" s="225">
        <f t="shared" si="182"/>
        <v>-62.328767123287669</v>
      </c>
      <c r="R148" s="225">
        <f t="shared" si="182"/>
        <v>-63.013698630136986</v>
      </c>
      <c r="S148" s="225">
        <f t="shared" si="182"/>
        <v>-73.287671232876718</v>
      </c>
      <c r="T148" s="225">
        <f t="shared" si="182"/>
        <v>-52.054794520547944</v>
      </c>
      <c r="U148" s="225">
        <f t="shared" si="182"/>
        <v>-62.328767123287669</v>
      </c>
      <c r="V148" s="225">
        <f t="shared" si="182"/>
        <v>-63.013698630136986</v>
      </c>
      <c r="W148" s="225">
        <f t="shared" si="182"/>
        <v>-73.287671232876718</v>
      </c>
      <c r="X148" s="225">
        <f t="shared" si="182"/>
        <v>-676.36986301369859</v>
      </c>
      <c r="Y148" s="225">
        <f t="shared" si="182"/>
        <v>-679.53767123287673</v>
      </c>
      <c r="Z148" s="225">
        <f t="shared" si="182"/>
        <v>-672.2602739726027</v>
      </c>
      <c r="AA148" s="225">
        <f t="shared" si="182"/>
        <v>-45.804794520547944</v>
      </c>
      <c r="AB148" s="225">
        <f t="shared" si="182"/>
        <v>-1275.6849315068494</v>
      </c>
      <c r="AC148" s="225">
        <f t="shared" si="182"/>
        <v>-648.3732876712329</v>
      </c>
      <c r="AD148" s="225">
        <f t="shared" si="182"/>
        <v>-640.7534246575342</v>
      </c>
      <c r="AE148" s="225">
        <f t="shared" si="182"/>
        <v>-9.1609589041095898</v>
      </c>
      <c r="AF148" s="225">
        <f t="shared" si="182"/>
        <v>-630.13698630136992</v>
      </c>
      <c r="AG148" s="225">
        <f t="shared" si="182"/>
        <v>0</v>
      </c>
      <c r="AH148" s="225">
        <f t="shared" si="182"/>
        <v>0</v>
      </c>
      <c r="AI148" s="225">
        <f t="shared" si="182"/>
        <v>0</v>
      </c>
      <c r="AJ148" s="225">
        <f t="shared" si="182"/>
        <v>0</v>
      </c>
      <c r="AK148" s="225">
        <f t="shared" si="182"/>
        <v>0</v>
      </c>
      <c r="AL148" s="225">
        <f t="shared" si="182"/>
        <v>0</v>
      </c>
      <c r="AM148" s="225">
        <f t="shared" si="182"/>
        <v>0</v>
      </c>
      <c r="AN148" s="225">
        <f t="shared" si="182"/>
        <v>0</v>
      </c>
      <c r="AO148" s="225">
        <f t="shared" si="182"/>
        <v>0</v>
      </c>
      <c r="AP148" s="60"/>
      <c r="AQ148" s="60"/>
      <c r="AR148" s="60"/>
      <c r="AS148" s="60"/>
      <c r="AT148" s="60"/>
    </row>
    <row r="149" spans="8:46" ht="20.25" customHeight="1"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230"/>
      <c r="V149" s="230"/>
      <c r="W149" s="230"/>
      <c r="X149" s="230"/>
      <c r="Y149" s="230"/>
      <c r="Z149" s="230"/>
      <c r="AA149" s="230"/>
      <c r="AB149" s="230"/>
      <c r="AC149" s="230"/>
      <c r="AD149" s="230"/>
      <c r="AE149" s="230"/>
      <c r="AF149" s="230"/>
      <c r="AG149" s="230"/>
      <c r="AH149" s="230"/>
      <c r="AI149" s="230"/>
      <c r="AJ149" s="230"/>
      <c r="AK149" s="230"/>
      <c r="AL149" s="230"/>
      <c r="AM149" s="230"/>
      <c r="AN149" s="230"/>
      <c r="AO149" s="230"/>
      <c r="AP149" s="60"/>
      <c r="AQ149" s="60"/>
      <c r="AR149" s="60"/>
    </row>
    <row r="150" spans="8:46" ht="20.25" customHeight="1">
      <c r="H150" s="112" t="s">
        <v>84</v>
      </c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230"/>
      <c r="V150" s="230"/>
      <c r="W150" s="230"/>
      <c r="X150" s="230"/>
      <c r="Y150" s="230"/>
      <c r="Z150" s="230"/>
      <c r="AA150" s="230"/>
      <c r="AB150" s="230"/>
      <c r="AC150" s="230"/>
      <c r="AD150" s="230"/>
      <c r="AE150" s="230"/>
      <c r="AF150" s="230"/>
      <c r="AG150" s="230"/>
      <c r="AH150" s="230"/>
      <c r="AI150" s="230"/>
      <c r="AJ150" s="230"/>
      <c r="AK150" s="230"/>
      <c r="AL150" s="230"/>
      <c r="AM150" s="230"/>
      <c r="AN150" s="230"/>
      <c r="AO150" s="230"/>
      <c r="AP150" s="60"/>
      <c r="AQ150" s="60"/>
      <c r="AR150" s="60"/>
    </row>
    <row r="151" spans="8:46" ht="20.25" customHeight="1">
      <c r="H151" s="105" t="s">
        <v>85</v>
      </c>
      <c r="I151" s="107" t="s">
        <v>29</v>
      </c>
      <c r="J151" s="115">
        <f>L151</f>
        <v>0</v>
      </c>
      <c r="K151" s="115">
        <f>L151</f>
        <v>0</v>
      </c>
      <c r="L151" s="314">
        <v>0</v>
      </c>
      <c r="M151" s="108">
        <f>L153</f>
        <v>-4867.91904109589</v>
      </c>
      <c r="N151" s="108">
        <f t="shared" ref="N151:AO151" si="183">M153</f>
        <v>-18536.658649305245</v>
      </c>
      <c r="O151" s="108">
        <f t="shared" si="183"/>
        <v>-21979.970689021447</v>
      </c>
      <c r="P151" s="108">
        <f t="shared" si="183"/>
        <v>-18147.401201340388</v>
      </c>
      <c r="Q151" s="108">
        <f t="shared" si="183"/>
        <v>-18284.799405440153</v>
      </c>
      <c r="R151" s="108">
        <f t="shared" si="183"/>
        <v>-18928.044013649505</v>
      </c>
      <c r="S151" s="108">
        <f t="shared" si="183"/>
        <v>-19651.766053365707</v>
      </c>
      <c r="T151" s="108">
        <f t="shared" si="183"/>
        <v>-20406.289565684649</v>
      </c>
      <c r="U151" s="231">
        <f t="shared" si="183"/>
        <v>-21156.875201291263</v>
      </c>
      <c r="V151" s="231">
        <f t="shared" si="183"/>
        <v>-21935.569809500616</v>
      </c>
      <c r="W151" s="231">
        <f t="shared" si="183"/>
        <v>-22733.519349216818</v>
      </c>
      <c r="X151" s="231">
        <f t="shared" si="183"/>
        <v>-23560.447861535762</v>
      </c>
      <c r="Y151" s="231">
        <f t="shared" si="183"/>
        <v>-25008.556065635526</v>
      </c>
      <c r="Z151" s="231">
        <f t="shared" si="183"/>
        <v>-26479.264577954469</v>
      </c>
      <c r="AA151" s="231">
        <f t="shared" si="183"/>
        <v>-27962.600693013137</v>
      </c>
      <c r="AB151" s="231">
        <f t="shared" si="183"/>
        <v>-28839.52882861975</v>
      </c>
      <c r="AC151" s="231">
        <f t="shared" si="183"/>
        <v>-30965.784601212665</v>
      </c>
      <c r="AD151" s="231">
        <f t="shared" si="183"/>
        <v>-32485.496229969962</v>
      </c>
      <c r="AE151" s="231">
        <f t="shared" si="183"/>
        <v>-34018.940495713563</v>
      </c>
      <c r="AF151" s="231">
        <f t="shared" si="183"/>
        <v>-34942.174795703737</v>
      </c>
      <c r="AG151" s="231">
        <f t="shared" si="183"/>
        <v>-36507.167623091169</v>
      </c>
      <c r="AH151" s="231">
        <f t="shared" si="183"/>
        <v>-37878.885687537891</v>
      </c>
      <c r="AI151" s="231">
        <f t="shared" si="183"/>
        <v>-39273.141251984613</v>
      </c>
      <c r="AJ151" s="231">
        <f t="shared" si="183"/>
        <v>-40690.309316431332</v>
      </c>
      <c r="AK151" s="231">
        <f t="shared" si="183"/>
        <v>-42130.494880878054</v>
      </c>
      <c r="AL151" s="231">
        <f t="shared" si="183"/>
        <v>-43594.080445324777</v>
      </c>
      <c r="AM151" s="231">
        <f t="shared" si="183"/>
        <v>-45081.741009771496</v>
      </c>
      <c r="AN151" s="231">
        <f t="shared" si="183"/>
        <v>-46593.851574218221</v>
      </c>
      <c r="AO151" s="231">
        <f t="shared" si="183"/>
        <v>-48130.322138664938</v>
      </c>
      <c r="AP151" s="60"/>
      <c r="AQ151" s="60"/>
      <c r="AR151" s="60"/>
    </row>
    <row r="152" spans="8:46" ht="20.25" customHeight="1">
      <c r="H152" s="105" t="s">
        <v>86</v>
      </c>
      <c r="I152" s="107" t="s">
        <v>29</v>
      </c>
      <c r="J152" s="115">
        <f t="shared" ref="J152" si="184">SUMIF($L$19:$AO$19,1,L152:AO152)</f>
        <v>-48130.322138664938</v>
      </c>
      <c r="K152" s="115">
        <f t="shared" ref="K152" si="185">SUMIF($L$18:$AO$18,1,L152:AO152)</f>
        <v>-36507.167623091169</v>
      </c>
      <c r="L152" s="108">
        <f>L128+L135+L148</f>
        <v>-4867.91904109589</v>
      </c>
      <c r="M152" s="108">
        <f t="shared" ref="M152:AO152" si="186">M128+M135+M148</f>
        <v>-13668.739608209355</v>
      </c>
      <c r="N152" s="108">
        <f t="shared" si="186"/>
        <v>-3443.312039716202</v>
      </c>
      <c r="O152" s="108">
        <f t="shared" si="186"/>
        <v>3832.5694876810594</v>
      </c>
      <c r="P152" s="108">
        <f t="shared" si="186"/>
        <v>-137.39820409976417</v>
      </c>
      <c r="Q152" s="108">
        <f t="shared" si="186"/>
        <v>-643.24460820935337</v>
      </c>
      <c r="R152" s="108">
        <f t="shared" si="186"/>
        <v>-723.72203971620263</v>
      </c>
      <c r="S152" s="108">
        <f t="shared" si="186"/>
        <v>-754.52351231894215</v>
      </c>
      <c r="T152" s="108">
        <f t="shared" si="186"/>
        <v>-750.58563560661344</v>
      </c>
      <c r="U152" s="231">
        <f t="shared" si="186"/>
        <v>-778.69460820935308</v>
      </c>
      <c r="V152" s="231">
        <f t="shared" si="186"/>
        <v>-797.94953971620259</v>
      </c>
      <c r="W152" s="231">
        <f t="shared" si="186"/>
        <v>-826.92851231894235</v>
      </c>
      <c r="X152" s="231">
        <f t="shared" si="186"/>
        <v>-1448.1082040997642</v>
      </c>
      <c r="Y152" s="231">
        <f t="shared" si="186"/>
        <v>-1470.7085123189422</v>
      </c>
      <c r="Z152" s="231">
        <f t="shared" si="186"/>
        <v>-1483.3361150586684</v>
      </c>
      <c r="AA152" s="231">
        <f t="shared" si="186"/>
        <v>-876.92813560661364</v>
      </c>
      <c r="AB152" s="231">
        <f t="shared" si="186"/>
        <v>-2126.255772592915</v>
      </c>
      <c r="AC152" s="231">
        <f t="shared" si="186"/>
        <v>-1519.7116287572985</v>
      </c>
      <c r="AD152" s="231">
        <f t="shared" si="186"/>
        <v>-1533.4442657435998</v>
      </c>
      <c r="AE152" s="231">
        <f t="shared" si="186"/>
        <v>-923.23429999017549</v>
      </c>
      <c r="AF152" s="231">
        <f t="shared" si="186"/>
        <v>-1564.9928273874355</v>
      </c>
      <c r="AG152" s="231">
        <f t="shared" si="186"/>
        <v>-1371.7180644467214</v>
      </c>
      <c r="AH152" s="231">
        <f t="shared" si="186"/>
        <v>-1394.2555644467216</v>
      </c>
      <c r="AI152" s="231">
        <f t="shared" si="186"/>
        <v>-1417.1680644467215</v>
      </c>
      <c r="AJ152" s="231">
        <f t="shared" si="186"/>
        <v>-1440.1855644467214</v>
      </c>
      <c r="AK152" s="231">
        <f t="shared" si="186"/>
        <v>-1463.5855644467213</v>
      </c>
      <c r="AL152" s="231">
        <f t="shared" si="186"/>
        <v>-1487.6605644467215</v>
      </c>
      <c r="AM152" s="231">
        <f t="shared" si="186"/>
        <v>-1512.1105644467214</v>
      </c>
      <c r="AN152" s="231">
        <f t="shared" si="186"/>
        <v>-1536.4705644467213</v>
      </c>
      <c r="AO152" s="231">
        <f t="shared" si="186"/>
        <v>-57.725564446721322</v>
      </c>
      <c r="AP152" s="60"/>
      <c r="AQ152" s="60"/>
      <c r="AR152" s="60"/>
    </row>
    <row r="153" spans="8:46" ht="20.25" customHeight="1">
      <c r="H153" s="120" t="s">
        <v>87</v>
      </c>
      <c r="I153" s="121" t="s">
        <v>29</v>
      </c>
      <c r="J153" s="225">
        <f>J151+J152</f>
        <v>-48130.322138664938</v>
      </c>
      <c r="K153" s="225">
        <f>K151+K152</f>
        <v>-36507.167623091169</v>
      </c>
      <c r="L153" s="225">
        <f>L151+L152</f>
        <v>-4867.91904109589</v>
      </c>
      <c r="M153" s="225">
        <f t="shared" ref="M153:AO153" si="187">M151+M152</f>
        <v>-18536.658649305245</v>
      </c>
      <c r="N153" s="225">
        <f t="shared" si="187"/>
        <v>-21979.970689021447</v>
      </c>
      <c r="O153" s="225">
        <f t="shared" si="187"/>
        <v>-18147.401201340388</v>
      </c>
      <c r="P153" s="225">
        <f t="shared" si="187"/>
        <v>-18284.799405440153</v>
      </c>
      <c r="Q153" s="225">
        <f t="shared" si="187"/>
        <v>-18928.044013649505</v>
      </c>
      <c r="R153" s="225">
        <f t="shared" si="187"/>
        <v>-19651.766053365707</v>
      </c>
      <c r="S153" s="225">
        <f t="shared" si="187"/>
        <v>-20406.289565684649</v>
      </c>
      <c r="T153" s="225">
        <f t="shared" si="187"/>
        <v>-21156.875201291263</v>
      </c>
      <c r="U153" s="225">
        <f t="shared" si="187"/>
        <v>-21935.569809500616</v>
      </c>
      <c r="V153" s="225">
        <f t="shared" si="187"/>
        <v>-22733.519349216818</v>
      </c>
      <c r="W153" s="225">
        <f t="shared" si="187"/>
        <v>-23560.447861535762</v>
      </c>
      <c r="X153" s="225">
        <f t="shared" si="187"/>
        <v>-25008.556065635526</v>
      </c>
      <c r="Y153" s="225">
        <f t="shared" si="187"/>
        <v>-26479.264577954469</v>
      </c>
      <c r="Z153" s="225">
        <f t="shared" si="187"/>
        <v>-27962.600693013137</v>
      </c>
      <c r="AA153" s="225">
        <f t="shared" si="187"/>
        <v>-28839.52882861975</v>
      </c>
      <c r="AB153" s="225">
        <f t="shared" si="187"/>
        <v>-30965.784601212665</v>
      </c>
      <c r="AC153" s="225">
        <f t="shared" si="187"/>
        <v>-32485.496229969962</v>
      </c>
      <c r="AD153" s="225">
        <f t="shared" si="187"/>
        <v>-34018.940495713563</v>
      </c>
      <c r="AE153" s="225">
        <f t="shared" si="187"/>
        <v>-34942.174795703737</v>
      </c>
      <c r="AF153" s="225">
        <f t="shared" si="187"/>
        <v>-36507.167623091169</v>
      </c>
      <c r="AG153" s="225">
        <f t="shared" si="187"/>
        <v>-37878.885687537891</v>
      </c>
      <c r="AH153" s="225">
        <f t="shared" si="187"/>
        <v>-39273.141251984613</v>
      </c>
      <c r="AI153" s="225">
        <f t="shared" si="187"/>
        <v>-40690.309316431332</v>
      </c>
      <c r="AJ153" s="225">
        <f t="shared" si="187"/>
        <v>-42130.494880878054</v>
      </c>
      <c r="AK153" s="225">
        <f t="shared" si="187"/>
        <v>-43594.080445324777</v>
      </c>
      <c r="AL153" s="225">
        <f t="shared" si="187"/>
        <v>-45081.741009771496</v>
      </c>
      <c r="AM153" s="225">
        <f t="shared" si="187"/>
        <v>-46593.851574218221</v>
      </c>
      <c r="AN153" s="225">
        <f t="shared" si="187"/>
        <v>-48130.322138664938</v>
      </c>
      <c r="AO153" s="225">
        <f t="shared" si="187"/>
        <v>-48188.047703111661</v>
      </c>
      <c r="AP153" s="60"/>
      <c r="AQ153" s="60"/>
      <c r="AR153" s="60"/>
      <c r="AS153" s="60"/>
      <c r="AT153" s="60"/>
    </row>
    <row r="154" spans="8:46" ht="20.25" customHeight="1"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60"/>
      <c r="AP154" s="60"/>
      <c r="AQ154" s="60"/>
      <c r="AR154" s="60"/>
    </row>
    <row r="155" spans="8:46" ht="20.25" customHeight="1">
      <c r="H155" s="362" t="s">
        <v>88</v>
      </c>
      <c r="I155" s="363"/>
      <c r="J155" s="177" t="str">
        <f ca="1">IFERROR(IF(ROUND(MIN(OFFSET(K153,,,,MAX(SUM($L$18:$AO$18),1))),2)&lt;0,"Q","R"),"Q")</f>
        <v>Q</v>
      </c>
      <c r="K155" s="128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60"/>
      <c r="AO155" s="60"/>
      <c r="AP155" s="60"/>
      <c r="AQ155" s="60"/>
      <c r="AR155" s="60"/>
    </row>
    <row r="156" spans="8:46" ht="20.25" customHeight="1">
      <c r="H156" s="362" t="s">
        <v>89</v>
      </c>
      <c r="I156" s="363"/>
      <c r="J156" s="177" t="str">
        <f ca="1">IFERROR(IF(ROUND(MIN(OFFSET(J153,,,,MAX(SUM($L$19:$AO$19),1))),2)&lt;0,"Q","R"),"Q")</f>
        <v>Q</v>
      </c>
      <c r="K156" s="128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60"/>
      <c r="AO156" s="60"/>
      <c r="AP156" s="60"/>
      <c r="AQ156" s="60"/>
      <c r="AR156" s="60"/>
      <c r="AS156" s="60"/>
      <c r="AT156" s="60"/>
    </row>
    <row r="157" spans="8:46" ht="20.25" customHeight="1"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60"/>
      <c r="AO157" s="60"/>
      <c r="AP157" s="60"/>
      <c r="AQ157" s="60"/>
      <c r="AR157" s="60"/>
      <c r="AS157" s="60"/>
      <c r="AT157" s="60"/>
    </row>
    <row r="158" spans="8:46" ht="35.25" customHeight="1">
      <c r="H158" s="110" t="s">
        <v>222</v>
      </c>
      <c r="I158" s="60"/>
      <c r="J158" s="110"/>
      <c r="K158" s="110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  <c r="V158" s="111"/>
      <c r="W158" s="111"/>
      <c r="X158" s="111"/>
      <c r="Y158" s="111"/>
      <c r="Z158" s="111"/>
      <c r="AA158" s="111"/>
      <c r="AB158" s="111"/>
      <c r="AC158" s="111"/>
      <c r="AD158" s="111"/>
      <c r="AE158" s="111"/>
      <c r="AF158" s="111"/>
      <c r="AG158" s="111"/>
      <c r="AH158" s="111"/>
      <c r="AI158" s="111"/>
      <c r="AJ158" s="111"/>
      <c r="AK158" s="111"/>
      <c r="AL158" s="111"/>
      <c r="AM158" s="111"/>
      <c r="AN158" s="111"/>
      <c r="AO158" s="111"/>
      <c r="AP158" s="111"/>
      <c r="AQ158" s="111"/>
      <c r="AR158" s="111"/>
      <c r="AS158" s="111"/>
      <c r="AT158" s="111"/>
    </row>
    <row r="159" spans="8:46" ht="20.25" customHeight="1">
      <c r="H159" s="61" t="s">
        <v>74</v>
      </c>
      <c r="I159" s="60"/>
      <c r="J159" s="61"/>
      <c r="K159" s="61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  <c r="AL159" s="59"/>
      <c r="AM159" s="59"/>
      <c r="AN159" s="59"/>
      <c r="AO159" s="59"/>
      <c r="AP159" s="59"/>
      <c r="AQ159" s="59"/>
      <c r="AR159" s="59"/>
      <c r="AS159" s="59"/>
      <c r="AT159" s="59"/>
    </row>
    <row r="160" spans="8:46" ht="21">
      <c r="H160" s="123" t="s">
        <v>75</v>
      </c>
      <c r="I160" s="124"/>
      <c r="J160" s="125"/>
      <c r="K160" s="125"/>
      <c r="L160" s="126"/>
      <c r="M160" s="126"/>
      <c r="N160" s="126"/>
      <c r="O160" s="126"/>
      <c r="P160" s="126"/>
      <c r="Q160" s="126"/>
      <c r="R160" s="126"/>
      <c r="S160" s="126"/>
      <c r="T160" s="126"/>
      <c r="U160" s="126"/>
      <c r="V160" s="126"/>
      <c r="W160" s="126"/>
      <c r="X160" s="126"/>
      <c r="Y160" s="126"/>
      <c r="Z160" s="126"/>
      <c r="AA160" s="126"/>
      <c r="AB160" s="126"/>
      <c r="AC160" s="126"/>
      <c r="AD160" s="126"/>
      <c r="AE160" s="126"/>
      <c r="AF160" s="126"/>
      <c r="AG160" s="126"/>
      <c r="AH160" s="126"/>
      <c r="AI160" s="126"/>
      <c r="AJ160" s="126"/>
      <c r="AK160" s="126"/>
      <c r="AL160" s="126"/>
      <c r="AM160" s="126"/>
      <c r="AN160" s="126"/>
      <c r="AO160" s="126"/>
      <c r="AP160" s="59"/>
      <c r="AQ160" s="59"/>
      <c r="AR160" s="59"/>
      <c r="AS160" s="59"/>
      <c r="AT160" s="59"/>
    </row>
    <row r="161" spans="8:46" ht="20.25" customHeight="1">
      <c r="H161" s="113" t="s">
        <v>76</v>
      </c>
      <c r="I161" s="114"/>
      <c r="J161" s="114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60"/>
      <c r="AT161" s="60"/>
    </row>
    <row r="162" spans="8:46" ht="20.25" customHeight="1">
      <c r="H162" s="109" t="s">
        <v>246</v>
      </c>
      <c r="I162" s="107" t="s">
        <v>29</v>
      </c>
      <c r="J162" s="232">
        <f t="shared" ref="J162:J165" si="188">SUMIF($L$19:$AO$19,1,L162:AO162)</f>
        <v>0</v>
      </c>
      <c r="K162" s="232">
        <f t="shared" ref="K162:K165" si="189">SUMIF($L$18:$AO$18,1,L162:AO162)</f>
        <v>0</v>
      </c>
      <c r="L162" s="233"/>
      <c r="M162" s="233"/>
      <c r="N162" s="233"/>
      <c r="O162" s="233"/>
      <c r="P162" s="233"/>
      <c r="Q162" s="233"/>
      <c r="R162" s="233"/>
      <c r="S162" s="233"/>
      <c r="T162" s="233"/>
      <c r="U162" s="233"/>
      <c r="V162" s="233"/>
      <c r="W162" s="233"/>
      <c r="X162" s="233"/>
      <c r="Y162" s="233"/>
      <c r="Z162" s="233"/>
      <c r="AA162" s="233"/>
      <c r="AB162" s="233"/>
      <c r="AC162" s="233"/>
      <c r="AD162" s="233"/>
      <c r="AE162" s="233"/>
      <c r="AF162" s="233"/>
      <c r="AG162" s="233"/>
      <c r="AH162" s="233"/>
      <c r="AI162" s="233"/>
      <c r="AJ162" s="233"/>
      <c r="AK162" s="233"/>
      <c r="AL162" s="233"/>
      <c r="AM162" s="233"/>
      <c r="AN162" s="233"/>
      <c r="AO162" s="233"/>
      <c r="AP162" s="60"/>
      <c r="AQ162" s="60"/>
      <c r="AR162" s="60"/>
      <c r="AS162" s="60"/>
      <c r="AT162" s="60"/>
    </row>
    <row r="163" spans="8:46" ht="20.25" customHeight="1">
      <c r="H163" s="105" t="s">
        <v>247</v>
      </c>
      <c r="I163" s="107" t="s">
        <v>29</v>
      </c>
      <c r="J163" s="232">
        <f t="shared" si="188"/>
        <v>0</v>
      </c>
      <c r="K163" s="232">
        <f t="shared" si="189"/>
        <v>0</v>
      </c>
      <c r="L163" s="233"/>
      <c r="M163" s="233"/>
      <c r="N163" s="233"/>
      <c r="O163" s="233"/>
      <c r="P163" s="233"/>
      <c r="Q163" s="233"/>
      <c r="R163" s="233"/>
      <c r="S163" s="233"/>
      <c r="T163" s="233"/>
      <c r="U163" s="233"/>
      <c r="V163" s="233"/>
      <c r="W163" s="233"/>
      <c r="X163" s="233"/>
      <c r="Y163" s="233"/>
      <c r="Z163" s="233"/>
      <c r="AA163" s="233"/>
      <c r="AB163" s="233"/>
      <c r="AC163" s="233"/>
      <c r="AD163" s="233"/>
      <c r="AE163" s="233"/>
      <c r="AF163" s="233"/>
      <c r="AG163" s="233"/>
      <c r="AH163" s="233"/>
      <c r="AI163" s="233"/>
      <c r="AJ163" s="233"/>
      <c r="AK163" s="233"/>
      <c r="AL163" s="233"/>
      <c r="AM163" s="233"/>
      <c r="AN163" s="233"/>
      <c r="AO163" s="233"/>
      <c r="AP163" s="60"/>
      <c r="AQ163" s="60"/>
      <c r="AR163" s="60"/>
      <c r="AS163" s="60"/>
      <c r="AT163" s="60"/>
    </row>
    <row r="164" spans="8:46" ht="20.25" customHeight="1">
      <c r="H164" s="105" t="s">
        <v>248</v>
      </c>
      <c r="I164" s="107" t="s">
        <v>29</v>
      </c>
      <c r="J164" s="232">
        <f t="shared" si="188"/>
        <v>0</v>
      </c>
      <c r="K164" s="232">
        <f t="shared" si="189"/>
        <v>0</v>
      </c>
      <c r="L164" s="233"/>
      <c r="M164" s="233"/>
      <c r="N164" s="233"/>
      <c r="O164" s="233"/>
      <c r="P164" s="233"/>
      <c r="Q164" s="233"/>
      <c r="R164" s="233"/>
      <c r="S164" s="233"/>
      <c r="T164" s="233"/>
      <c r="U164" s="233"/>
      <c r="V164" s="233"/>
      <c r="W164" s="233"/>
      <c r="X164" s="233"/>
      <c r="Y164" s="233"/>
      <c r="Z164" s="233"/>
      <c r="AA164" s="233"/>
      <c r="AB164" s="233"/>
      <c r="AC164" s="233"/>
      <c r="AD164" s="233"/>
      <c r="AE164" s="233"/>
      <c r="AF164" s="233"/>
      <c r="AG164" s="233"/>
      <c r="AH164" s="233"/>
      <c r="AI164" s="233"/>
      <c r="AJ164" s="233"/>
      <c r="AK164" s="233"/>
      <c r="AL164" s="233"/>
      <c r="AM164" s="233"/>
      <c r="AN164" s="233"/>
      <c r="AO164" s="233"/>
      <c r="AP164" s="60"/>
      <c r="AQ164" s="60"/>
      <c r="AR164" s="60"/>
      <c r="AS164" s="60"/>
      <c r="AT164" s="60"/>
    </row>
    <row r="165" spans="8:46" ht="20.25" customHeight="1">
      <c r="H165" s="105" t="s">
        <v>68</v>
      </c>
      <c r="I165" s="107" t="s">
        <v>29</v>
      </c>
      <c r="J165" s="232">
        <f t="shared" si="188"/>
        <v>0</v>
      </c>
      <c r="K165" s="232">
        <f t="shared" si="189"/>
        <v>0</v>
      </c>
      <c r="L165" s="233"/>
      <c r="M165" s="233"/>
      <c r="N165" s="233"/>
      <c r="O165" s="233"/>
      <c r="P165" s="233"/>
      <c r="Q165" s="233"/>
      <c r="R165" s="233"/>
      <c r="S165" s="233"/>
      <c r="T165" s="233"/>
      <c r="U165" s="233"/>
      <c r="V165" s="233"/>
      <c r="W165" s="233"/>
      <c r="X165" s="233"/>
      <c r="Y165" s="233"/>
      <c r="Z165" s="233"/>
      <c r="AA165" s="233"/>
      <c r="AB165" s="233"/>
      <c r="AC165" s="233"/>
      <c r="AD165" s="233"/>
      <c r="AE165" s="233"/>
      <c r="AF165" s="233"/>
      <c r="AG165" s="233"/>
      <c r="AH165" s="233"/>
      <c r="AI165" s="233"/>
      <c r="AJ165" s="233"/>
      <c r="AK165" s="233"/>
      <c r="AL165" s="233"/>
      <c r="AM165" s="233"/>
      <c r="AN165" s="233"/>
      <c r="AO165" s="233"/>
      <c r="AP165" s="60"/>
      <c r="AQ165" s="60"/>
      <c r="AR165" s="60"/>
      <c r="AS165" s="60"/>
      <c r="AT165" s="60"/>
    </row>
    <row r="166" spans="8:46" ht="20.25" customHeight="1">
      <c r="H166" s="120" t="s">
        <v>71</v>
      </c>
      <c r="I166" s="121" t="s">
        <v>29</v>
      </c>
      <c r="J166" s="225">
        <f t="shared" ref="J166:K166" si="190">SUM(J162:J165)</f>
        <v>0</v>
      </c>
      <c r="K166" s="225">
        <f t="shared" si="190"/>
        <v>0</v>
      </c>
      <c r="L166" s="225">
        <f>SUM(L162:L165)</f>
        <v>0</v>
      </c>
      <c r="M166" s="225">
        <f t="shared" ref="M166:AO166" si="191">SUM(M162:M165)</f>
        <v>0</v>
      </c>
      <c r="N166" s="225">
        <f t="shared" si="191"/>
        <v>0</v>
      </c>
      <c r="O166" s="225">
        <f t="shared" si="191"/>
        <v>0</v>
      </c>
      <c r="P166" s="225">
        <f t="shared" si="191"/>
        <v>0</v>
      </c>
      <c r="Q166" s="225">
        <f t="shared" si="191"/>
        <v>0</v>
      </c>
      <c r="R166" s="225">
        <f t="shared" si="191"/>
        <v>0</v>
      </c>
      <c r="S166" s="225">
        <f t="shared" si="191"/>
        <v>0</v>
      </c>
      <c r="T166" s="225">
        <f t="shared" si="191"/>
        <v>0</v>
      </c>
      <c r="U166" s="225">
        <f t="shared" si="191"/>
        <v>0</v>
      </c>
      <c r="V166" s="225">
        <f t="shared" si="191"/>
        <v>0</v>
      </c>
      <c r="W166" s="225">
        <f t="shared" si="191"/>
        <v>0</v>
      </c>
      <c r="X166" s="225">
        <f t="shared" si="191"/>
        <v>0</v>
      </c>
      <c r="Y166" s="225">
        <f t="shared" si="191"/>
        <v>0</v>
      </c>
      <c r="Z166" s="225">
        <f t="shared" si="191"/>
        <v>0</v>
      </c>
      <c r="AA166" s="225">
        <f t="shared" si="191"/>
        <v>0</v>
      </c>
      <c r="AB166" s="225">
        <f t="shared" si="191"/>
        <v>0</v>
      </c>
      <c r="AC166" s="225">
        <f t="shared" si="191"/>
        <v>0</v>
      </c>
      <c r="AD166" s="225">
        <f t="shared" si="191"/>
        <v>0</v>
      </c>
      <c r="AE166" s="225">
        <f t="shared" si="191"/>
        <v>0</v>
      </c>
      <c r="AF166" s="225">
        <f t="shared" si="191"/>
        <v>0</v>
      </c>
      <c r="AG166" s="225">
        <f t="shared" si="191"/>
        <v>0</v>
      </c>
      <c r="AH166" s="225">
        <f t="shared" si="191"/>
        <v>0</v>
      </c>
      <c r="AI166" s="225">
        <f t="shared" si="191"/>
        <v>0</v>
      </c>
      <c r="AJ166" s="225">
        <f t="shared" si="191"/>
        <v>0</v>
      </c>
      <c r="AK166" s="225">
        <f t="shared" si="191"/>
        <v>0</v>
      </c>
      <c r="AL166" s="225">
        <f t="shared" si="191"/>
        <v>0</v>
      </c>
      <c r="AM166" s="225">
        <f t="shared" si="191"/>
        <v>0</v>
      </c>
      <c r="AN166" s="225">
        <f t="shared" si="191"/>
        <v>0</v>
      </c>
      <c r="AO166" s="225">
        <f t="shared" si="191"/>
        <v>0</v>
      </c>
      <c r="AP166" s="60"/>
      <c r="AQ166" s="60"/>
      <c r="AR166" s="60"/>
      <c r="AS166" s="60"/>
      <c r="AT166" s="60"/>
    </row>
    <row r="167" spans="8:46" ht="20.25" customHeight="1">
      <c r="H167" s="60"/>
      <c r="I167" s="60"/>
      <c r="J167" s="230"/>
      <c r="K167" s="230"/>
      <c r="L167" s="230"/>
      <c r="M167" s="230"/>
      <c r="N167" s="230"/>
      <c r="O167" s="230"/>
      <c r="P167" s="230"/>
      <c r="Q167" s="230"/>
      <c r="R167" s="230"/>
      <c r="S167" s="230"/>
      <c r="T167" s="230"/>
      <c r="U167" s="230"/>
      <c r="V167" s="230"/>
      <c r="W167" s="230"/>
      <c r="X167" s="230"/>
      <c r="Y167" s="230"/>
      <c r="Z167" s="230"/>
      <c r="AA167" s="230"/>
      <c r="AB167" s="230"/>
      <c r="AC167" s="230"/>
      <c r="AD167" s="230"/>
      <c r="AE167" s="230"/>
      <c r="AF167" s="230"/>
      <c r="AG167" s="230"/>
      <c r="AH167" s="230"/>
      <c r="AI167" s="230"/>
      <c r="AJ167" s="230"/>
      <c r="AK167" s="230"/>
      <c r="AL167" s="230"/>
      <c r="AM167" s="230"/>
      <c r="AN167" s="230"/>
      <c r="AO167" s="230"/>
      <c r="AP167" s="60"/>
      <c r="AQ167" s="60"/>
      <c r="AR167" s="60"/>
      <c r="AS167" s="60"/>
      <c r="AT167" s="60"/>
    </row>
    <row r="168" spans="8:46" ht="20.25" customHeight="1">
      <c r="H168" s="113" t="s">
        <v>77</v>
      </c>
      <c r="I168" s="114"/>
      <c r="J168" s="234"/>
      <c r="K168" s="235"/>
      <c r="L168" s="235"/>
      <c r="M168" s="235"/>
      <c r="N168" s="235"/>
      <c r="O168" s="235"/>
      <c r="P168" s="235"/>
      <c r="Q168" s="235"/>
      <c r="R168" s="235"/>
      <c r="S168" s="235"/>
      <c r="T168" s="235"/>
      <c r="U168" s="235"/>
      <c r="V168" s="235"/>
      <c r="W168" s="235"/>
      <c r="X168" s="235"/>
      <c r="Y168" s="235"/>
      <c r="Z168" s="235"/>
      <c r="AA168" s="235"/>
      <c r="AB168" s="235"/>
      <c r="AC168" s="235"/>
      <c r="AD168" s="235"/>
      <c r="AE168" s="235"/>
      <c r="AF168" s="235"/>
      <c r="AG168" s="235"/>
      <c r="AH168" s="235"/>
      <c r="AI168" s="235"/>
      <c r="AJ168" s="235"/>
      <c r="AK168" s="235"/>
      <c r="AL168" s="235"/>
      <c r="AM168" s="235"/>
      <c r="AN168" s="235"/>
      <c r="AO168" s="235"/>
      <c r="AP168" s="59"/>
      <c r="AQ168" s="59"/>
      <c r="AR168" s="59"/>
      <c r="AS168" s="60"/>
      <c r="AT168" s="60"/>
    </row>
    <row r="169" spans="8:46" ht="20.25" customHeight="1">
      <c r="H169" s="105" t="s">
        <v>249</v>
      </c>
      <c r="I169" s="107" t="s">
        <v>29</v>
      </c>
      <c r="J169" s="232">
        <f t="shared" ref="J169:J173" si="192">SUMIF($L$19:$AO$19,1,L169:AO169)</f>
        <v>0</v>
      </c>
      <c r="K169" s="232">
        <f t="shared" ref="K169:K173" si="193">SUMIF($L$18:$AO$18,1,L169:AO169)</f>
        <v>0</v>
      </c>
      <c r="L169" s="233"/>
      <c r="M169" s="233"/>
      <c r="N169" s="233"/>
      <c r="O169" s="233"/>
      <c r="P169" s="233"/>
      <c r="Q169" s="233"/>
      <c r="R169" s="233"/>
      <c r="S169" s="233"/>
      <c r="T169" s="233"/>
      <c r="U169" s="233"/>
      <c r="V169" s="233"/>
      <c r="W169" s="233"/>
      <c r="X169" s="233"/>
      <c r="Y169" s="233"/>
      <c r="Z169" s="233"/>
      <c r="AA169" s="233"/>
      <c r="AB169" s="233"/>
      <c r="AC169" s="233"/>
      <c r="AD169" s="233"/>
      <c r="AE169" s="233"/>
      <c r="AF169" s="233"/>
      <c r="AG169" s="233"/>
      <c r="AH169" s="233"/>
      <c r="AI169" s="233"/>
      <c r="AJ169" s="233"/>
      <c r="AK169" s="233"/>
      <c r="AL169" s="233"/>
      <c r="AM169" s="233"/>
      <c r="AN169" s="233"/>
      <c r="AO169" s="233"/>
      <c r="AP169" s="60"/>
      <c r="AQ169" s="60"/>
      <c r="AR169" s="60"/>
      <c r="AS169" s="60"/>
      <c r="AT169" s="60"/>
    </row>
    <row r="170" spans="8:46" ht="20.25" customHeight="1">
      <c r="H170" s="105" t="s">
        <v>250</v>
      </c>
      <c r="I170" s="107" t="s">
        <v>29</v>
      </c>
      <c r="J170" s="232">
        <f t="shared" si="192"/>
        <v>0</v>
      </c>
      <c r="K170" s="232">
        <f t="shared" si="193"/>
        <v>0</v>
      </c>
      <c r="L170" s="233"/>
      <c r="M170" s="233"/>
      <c r="N170" s="233"/>
      <c r="O170" s="233"/>
      <c r="P170" s="233"/>
      <c r="Q170" s="233"/>
      <c r="R170" s="233"/>
      <c r="S170" s="233"/>
      <c r="T170" s="233"/>
      <c r="U170" s="233"/>
      <c r="V170" s="233"/>
      <c r="W170" s="233"/>
      <c r="X170" s="233"/>
      <c r="Y170" s="233"/>
      <c r="Z170" s="233"/>
      <c r="AA170" s="233"/>
      <c r="AB170" s="233"/>
      <c r="AC170" s="233"/>
      <c r="AD170" s="233"/>
      <c r="AE170" s="233"/>
      <c r="AF170" s="233"/>
      <c r="AG170" s="233"/>
      <c r="AH170" s="233"/>
      <c r="AI170" s="233"/>
      <c r="AJ170" s="233"/>
      <c r="AK170" s="233"/>
      <c r="AL170" s="233"/>
      <c r="AM170" s="233"/>
      <c r="AN170" s="233"/>
      <c r="AO170" s="233"/>
      <c r="AP170" s="60"/>
      <c r="AQ170" s="60"/>
      <c r="AR170" s="60"/>
      <c r="AS170" s="60"/>
      <c r="AT170" s="60"/>
    </row>
    <row r="171" spans="8:46" ht="20.25" customHeight="1">
      <c r="H171" s="105" t="s">
        <v>251</v>
      </c>
      <c r="I171" s="107" t="s">
        <v>29</v>
      </c>
      <c r="J171" s="232">
        <f t="shared" si="192"/>
        <v>0</v>
      </c>
      <c r="K171" s="232">
        <f t="shared" si="193"/>
        <v>0</v>
      </c>
      <c r="L171" s="233"/>
      <c r="M171" s="233"/>
      <c r="N171" s="233"/>
      <c r="O171" s="233"/>
      <c r="P171" s="233"/>
      <c r="Q171" s="233"/>
      <c r="R171" s="233"/>
      <c r="S171" s="233"/>
      <c r="T171" s="233"/>
      <c r="U171" s="233"/>
      <c r="V171" s="233"/>
      <c r="W171" s="233"/>
      <c r="X171" s="233"/>
      <c r="Y171" s="233"/>
      <c r="Z171" s="233"/>
      <c r="AA171" s="233"/>
      <c r="AB171" s="233"/>
      <c r="AC171" s="233"/>
      <c r="AD171" s="233"/>
      <c r="AE171" s="233"/>
      <c r="AF171" s="233"/>
      <c r="AG171" s="233"/>
      <c r="AH171" s="233"/>
      <c r="AI171" s="233"/>
      <c r="AJ171" s="233"/>
      <c r="AK171" s="233"/>
      <c r="AL171" s="233"/>
      <c r="AM171" s="233"/>
      <c r="AN171" s="233"/>
      <c r="AO171" s="233"/>
      <c r="AP171" s="60"/>
      <c r="AQ171" s="60"/>
      <c r="AR171" s="60"/>
      <c r="AS171" s="60"/>
      <c r="AT171" s="60"/>
    </row>
    <row r="172" spans="8:46" ht="20.25" customHeight="1">
      <c r="H172" s="105" t="str">
        <f>H83</f>
        <v>Уплата налога на прибыль (-)</v>
      </c>
      <c r="I172" s="107" t="s">
        <v>29</v>
      </c>
      <c r="J172" s="232">
        <f t="shared" si="192"/>
        <v>0</v>
      </c>
      <c r="K172" s="232">
        <f t="shared" si="193"/>
        <v>0</v>
      </c>
      <c r="L172" s="233"/>
      <c r="M172" s="233"/>
      <c r="N172" s="233"/>
      <c r="O172" s="233"/>
      <c r="P172" s="233"/>
      <c r="Q172" s="233"/>
      <c r="R172" s="233"/>
      <c r="S172" s="233"/>
      <c r="T172" s="233"/>
      <c r="U172" s="233"/>
      <c r="V172" s="233"/>
      <c r="W172" s="233"/>
      <c r="X172" s="233"/>
      <c r="Y172" s="233"/>
      <c r="Z172" s="233"/>
      <c r="AA172" s="233"/>
      <c r="AB172" s="233"/>
      <c r="AC172" s="233"/>
      <c r="AD172" s="233"/>
      <c r="AE172" s="233"/>
      <c r="AF172" s="233"/>
      <c r="AG172" s="233"/>
      <c r="AH172" s="233"/>
      <c r="AI172" s="233"/>
      <c r="AJ172" s="233"/>
      <c r="AK172" s="233"/>
      <c r="AL172" s="233"/>
      <c r="AM172" s="233"/>
      <c r="AN172" s="233"/>
      <c r="AO172" s="233"/>
      <c r="AP172" s="60"/>
      <c r="AQ172" s="60"/>
      <c r="AR172" s="60"/>
      <c r="AS172" s="60"/>
      <c r="AT172" s="60"/>
    </row>
    <row r="173" spans="8:46" ht="20.25" customHeight="1">
      <c r="H173" s="105" t="s">
        <v>252</v>
      </c>
      <c r="I173" s="107" t="s">
        <v>29</v>
      </c>
      <c r="J173" s="232">
        <f t="shared" si="192"/>
        <v>0</v>
      </c>
      <c r="K173" s="232">
        <f t="shared" si="193"/>
        <v>0</v>
      </c>
      <c r="L173" s="233"/>
      <c r="M173" s="233"/>
      <c r="N173" s="233"/>
      <c r="O173" s="233"/>
      <c r="P173" s="233"/>
      <c r="Q173" s="233"/>
      <c r="R173" s="233"/>
      <c r="S173" s="233"/>
      <c r="T173" s="233"/>
      <c r="U173" s="233"/>
      <c r="V173" s="233"/>
      <c r="W173" s="233"/>
      <c r="X173" s="233"/>
      <c r="Y173" s="233"/>
      <c r="Z173" s="233"/>
      <c r="AA173" s="233"/>
      <c r="AB173" s="233"/>
      <c r="AC173" s="233"/>
      <c r="AD173" s="233"/>
      <c r="AE173" s="233"/>
      <c r="AF173" s="233"/>
      <c r="AG173" s="233"/>
      <c r="AH173" s="233"/>
      <c r="AI173" s="233"/>
      <c r="AJ173" s="233"/>
      <c r="AK173" s="233"/>
      <c r="AL173" s="233"/>
      <c r="AM173" s="233"/>
      <c r="AN173" s="233"/>
      <c r="AO173" s="233"/>
      <c r="AP173" s="60"/>
      <c r="AQ173" s="60"/>
      <c r="AR173" s="60"/>
      <c r="AS173" s="60"/>
      <c r="AT173" s="60"/>
    </row>
    <row r="174" spans="8:46" ht="20.25" customHeight="1">
      <c r="H174" s="120" t="s">
        <v>71</v>
      </c>
      <c r="I174" s="121" t="s">
        <v>29</v>
      </c>
      <c r="J174" s="225">
        <f t="shared" ref="J174:K174" si="194">SUM(J169:J173)</f>
        <v>0</v>
      </c>
      <c r="K174" s="225">
        <f t="shared" si="194"/>
        <v>0</v>
      </c>
      <c r="L174" s="225">
        <f>SUM(L169:L173)</f>
        <v>0</v>
      </c>
      <c r="M174" s="225">
        <f t="shared" ref="M174:AO174" si="195">SUM(M169:M173)</f>
        <v>0</v>
      </c>
      <c r="N174" s="225">
        <f t="shared" si="195"/>
        <v>0</v>
      </c>
      <c r="O174" s="225">
        <f t="shared" si="195"/>
        <v>0</v>
      </c>
      <c r="P174" s="225">
        <f t="shared" si="195"/>
        <v>0</v>
      </c>
      <c r="Q174" s="225">
        <f t="shared" si="195"/>
        <v>0</v>
      </c>
      <c r="R174" s="225">
        <f t="shared" si="195"/>
        <v>0</v>
      </c>
      <c r="S174" s="225">
        <f t="shared" si="195"/>
        <v>0</v>
      </c>
      <c r="T174" s="225">
        <f t="shared" si="195"/>
        <v>0</v>
      </c>
      <c r="U174" s="225">
        <f t="shared" si="195"/>
        <v>0</v>
      </c>
      <c r="V174" s="225">
        <f t="shared" si="195"/>
        <v>0</v>
      </c>
      <c r="W174" s="225">
        <f t="shared" si="195"/>
        <v>0</v>
      </c>
      <c r="X174" s="225">
        <f t="shared" si="195"/>
        <v>0</v>
      </c>
      <c r="Y174" s="225">
        <f t="shared" si="195"/>
        <v>0</v>
      </c>
      <c r="Z174" s="225">
        <f t="shared" si="195"/>
        <v>0</v>
      </c>
      <c r="AA174" s="225">
        <f t="shared" si="195"/>
        <v>0</v>
      </c>
      <c r="AB174" s="225">
        <f t="shared" si="195"/>
        <v>0</v>
      </c>
      <c r="AC174" s="225">
        <f t="shared" si="195"/>
        <v>0</v>
      </c>
      <c r="AD174" s="225">
        <f t="shared" si="195"/>
        <v>0</v>
      </c>
      <c r="AE174" s="225">
        <f t="shared" si="195"/>
        <v>0</v>
      </c>
      <c r="AF174" s="225">
        <f t="shared" si="195"/>
        <v>0</v>
      </c>
      <c r="AG174" s="225">
        <f t="shared" si="195"/>
        <v>0</v>
      </c>
      <c r="AH174" s="225">
        <f t="shared" si="195"/>
        <v>0</v>
      </c>
      <c r="AI174" s="225">
        <f t="shared" si="195"/>
        <v>0</v>
      </c>
      <c r="AJ174" s="225">
        <f t="shared" si="195"/>
        <v>0</v>
      </c>
      <c r="AK174" s="225">
        <f t="shared" si="195"/>
        <v>0</v>
      </c>
      <c r="AL174" s="225">
        <f t="shared" si="195"/>
        <v>0</v>
      </c>
      <c r="AM174" s="225">
        <f t="shared" si="195"/>
        <v>0</v>
      </c>
      <c r="AN174" s="225">
        <f t="shared" si="195"/>
        <v>0</v>
      </c>
      <c r="AO174" s="225">
        <f t="shared" si="195"/>
        <v>0</v>
      </c>
      <c r="AP174" s="60"/>
      <c r="AQ174" s="60"/>
      <c r="AR174" s="60"/>
      <c r="AS174" s="60"/>
      <c r="AT174" s="60"/>
    </row>
    <row r="175" spans="8:46" ht="20.25" customHeight="1">
      <c r="H175" s="60"/>
      <c r="I175" s="60"/>
      <c r="J175" s="230"/>
      <c r="K175" s="230"/>
      <c r="L175" s="230"/>
      <c r="M175" s="230"/>
      <c r="N175" s="230"/>
      <c r="O175" s="230"/>
      <c r="P175" s="230"/>
      <c r="Q175" s="230"/>
      <c r="R175" s="230"/>
      <c r="S175" s="230"/>
      <c r="T175" s="230"/>
      <c r="U175" s="230"/>
      <c r="V175" s="230"/>
      <c r="W175" s="230"/>
      <c r="X175" s="230"/>
      <c r="Y175" s="230"/>
      <c r="Z175" s="230"/>
      <c r="AA175" s="230"/>
      <c r="AB175" s="230"/>
      <c r="AC175" s="230"/>
      <c r="AD175" s="230"/>
      <c r="AE175" s="230"/>
      <c r="AF175" s="230"/>
      <c r="AG175" s="230"/>
      <c r="AH175" s="230"/>
      <c r="AI175" s="230"/>
      <c r="AJ175" s="230"/>
      <c r="AK175" s="230"/>
      <c r="AL175" s="230"/>
      <c r="AM175" s="230"/>
      <c r="AN175" s="230"/>
      <c r="AO175" s="230"/>
      <c r="AP175" s="60"/>
      <c r="AQ175" s="60"/>
      <c r="AR175" s="60"/>
      <c r="AS175" s="60"/>
      <c r="AT175" s="60"/>
    </row>
    <row r="176" spans="8:46" ht="20.25" customHeight="1">
      <c r="H176" s="120" t="s">
        <v>78</v>
      </c>
      <c r="I176" s="121" t="s">
        <v>29</v>
      </c>
      <c r="J176" s="225">
        <f t="shared" ref="J176:K176" si="196">J166+J174</f>
        <v>0</v>
      </c>
      <c r="K176" s="225">
        <f t="shared" si="196"/>
        <v>0</v>
      </c>
      <c r="L176" s="225">
        <f>L166+L174</f>
        <v>0</v>
      </c>
      <c r="M176" s="225">
        <f t="shared" ref="M176:AO176" si="197">M166+M174</f>
        <v>0</v>
      </c>
      <c r="N176" s="225">
        <f t="shared" si="197"/>
        <v>0</v>
      </c>
      <c r="O176" s="225">
        <f t="shared" si="197"/>
        <v>0</v>
      </c>
      <c r="P176" s="225">
        <f t="shared" si="197"/>
        <v>0</v>
      </c>
      <c r="Q176" s="225">
        <f t="shared" si="197"/>
        <v>0</v>
      </c>
      <c r="R176" s="225">
        <f t="shared" si="197"/>
        <v>0</v>
      </c>
      <c r="S176" s="225">
        <f t="shared" si="197"/>
        <v>0</v>
      </c>
      <c r="T176" s="225">
        <f t="shared" si="197"/>
        <v>0</v>
      </c>
      <c r="U176" s="225">
        <f t="shared" si="197"/>
        <v>0</v>
      </c>
      <c r="V176" s="225">
        <f t="shared" si="197"/>
        <v>0</v>
      </c>
      <c r="W176" s="225">
        <f t="shared" si="197"/>
        <v>0</v>
      </c>
      <c r="X176" s="225">
        <f t="shared" si="197"/>
        <v>0</v>
      </c>
      <c r="Y176" s="225">
        <f t="shared" si="197"/>
        <v>0</v>
      </c>
      <c r="Z176" s="225">
        <f t="shared" si="197"/>
        <v>0</v>
      </c>
      <c r="AA176" s="225">
        <f t="shared" si="197"/>
        <v>0</v>
      </c>
      <c r="AB176" s="225">
        <f t="shared" si="197"/>
        <v>0</v>
      </c>
      <c r="AC176" s="225">
        <f t="shared" si="197"/>
        <v>0</v>
      </c>
      <c r="AD176" s="225">
        <f t="shared" si="197"/>
        <v>0</v>
      </c>
      <c r="AE176" s="225">
        <f t="shared" si="197"/>
        <v>0</v>
      </c>
      <c r="AF176" s="225">
        <f t="shared" si="197"/>
        <v>0</v>
      </c>
      <c r="AG176" s="225">
        <f t="shared" si="197"/>
        <v>0</v>
      </c>
      <c r="AH176" s="225">
        <f t="shared" si="197"/>
        <v>0</v>
      </c>
      <c r="AI176" s="225">
        <f t="shared" si="197"/>
        <v>0</v>
      </c>
      <c r="AJ176" s="225">
        <f t="shared" si="197"/>
        <v>0</v>
      </c>
      <c r="AK176" s="225">
        <f t="shared" si="197"/>
        <v>0</v>
      </c>
      <c r="AL176" s="225">
        <f t="shared" si="197"/>
        <v>0</v>
      </c>
      <c r="AM176" s="225">
        <f t="shared" si="197"/>
        <v>0</v>
      </c>
      <c r="AN176" s="225">
        <f t="shared" si="197"/>
        <v>0</v>
      </c>
      <c r="AO176" s="225">
        <f t="shared" si="197"/>
        <v>0</v>
      </c>
      <c r="AP176" s="60"/>
      <c r="AQ176" s="60"/>
      <c r="AR176" s="60"/>
      <c r="AS176" s="60"/>
      <c r="AT176" s="60"/>
    </row>
    <row r="177" spans="8:46" ht="20.25" customHeight="1">
      <c r="H177" s="60"/>
      <c r="I177" s="60"/>
      <c r="J177" s="230"/>
      <c r="K177" s="230"/>
      <c r="L177" s="230"/>
      <c r="M177" s="230"/>
      <c r="N177" s="230"/>
      <c r="O177" s="230"/>
      <c r="P177" s="230"/>
      <c r="Q177" s="230"/>
      <c r="R177" s="230"/>
      <c r="S177" s="230"/>
      <c r="T177" s="230"/>
      <c r="U177" s="230"/>
      <c r="V177" s="230"/>
      <c r="W177" s="230"/>
      <c r="X177" s="230"/>
      <c r="Y177" s="230"/>
      <c r="Z177" s="230"/>
      <c r="AA177" s="230"/>
      <c r="AB177" s="230"/>
      <c r="AC177" s="230"/>
      <c r="AD177" s="230"/>
      <c r="AE177" s="230"/>
      <c r="AF177" s="230"/>
      <c r="AG177" s="230"/>
      <c r="AH177" s="230"/>
      <c r="AI177" s="230"/>
      <c r="AJ177" s="230"/>
      <c r="AK177" s="230"/>
      <c r="AL177" s="230"/>
      <c r="AM177" s="230"/>
      <c r="AN177" s="230"/>
      <c r="AO177" s="230"/>
      <c r="AP177" s="60"/>
      <c r="AQ177" s="60"/>
      <c r="AR177" s="60"/>
      <c r="AS177" s="60"/>
      <c r="AT177" s="60"/>
    </row>
    <row r="178" spans="8:46" ht="21">
      <c r="H178" s="123" t="s">
        <v>79</v>
      </c>
      <c r="I178" s="124"/>
      <c r="J178" s="236"/>
      <c r="K178" s="236"/>
      <c r="L178" s="237"/>
      <c r="M178" s="237"/>
      <c r="N178" s="237"/>
      <c r="O178" s="237"/>
      <c r="P178" s="237"/>
      <c r="Q178" s="237"/>
      <c r="R178" s="237"/>
      <c r="S178" s="237"/>
      <c r="T178" s="237"/>
      <c r="U178" s="237"/>
      <c r="V178" s="237"/>
      <c r="W178" s="237"/>
      <c r="X178" s="237"/>
      <c r="Y178" s="237"/>
      <c r="Z178" s="237"/>
      <c r="AA178" s="237"/>
      <c r="AB178" s="237"/>
      <c r="AC178" s="237"/>
      <c r="AD178" s="237"/>
      <c r="AE178" s="237"/>
      <c r="AF178" s="237"/>
      <c r="AG178" s="237"/>
      <c r="AH178" s="237"/>
      <c r="AI178" s="237"/>
      <c r="AJ178" s="237"/>
      <c r="AK178" s="237"/>
      <c r="AL178" s="237"/>
      <c r="AM178" s="237"/>
      <c r="AN178" s="237"/>
      <c r="AO178" s="237"/>
      <c r="AP178" s="59"/>
      <c r="AQ178" s="59"/>
      <c r="AR178" s="59"/>
      <c r="AS178" s="59"/>
      <c r="AT178" s="59"/>
    </row>
    <row r="179" spans="8:46" ht="20.25" customHeight="1">
      <c r="H179" s="113" t="s">
        <v>76</v>
      </c>
      <c r="I179" s="114"/>
      <c r="J179" s="234"/>
      <c r="K179" s="235"/>
      <c r="L179" s="235"/>
      <c r="M179" s="235"/>
      <c r="N179" s="235"/>
      <c r="O179" s="235"/>
      <c r="P179" s="235"/>
      <c r="Q179" s="235"/>
      <c r="R179" s="235"/>
      <c r="S179" s="235"/>
      <c r="T179" s="235"/>
      <c r="U179" s="235"/>
      <c r="V179" s="235"/>
      <c r="W179" s="235"/>
      <c r="X179" s="235"/>
      <c r="Y179" s="235"/>
      <c r="Z179" s="235"/>
      <c r="AA179" s="235"/>
      <c r="AB179" s="235"/>
      <c r="AC179" s="235"/>
      <c r="AD179" s="235"/>
      <c r="AE179" s="235"/>
      <c r="AF179" s="235"/>
      <c r="AG179" s="235"/>
      <c r="AH179" s="235"/>
      <c r="AI179" s="235"/>
      <c r="AJ179" s="235"/>
      <c r="AK179" s="235"/>
      <c r="AL179" s="235"/>
      <c r="AM179" s="235"/>
      <c r="AN179" s="235"/>
      <c r="AO179" s="235"/>
      <c r="AP179" s="59"/>
      <c r="AQ179" s="59"/>
      <c r="AR179" s="59"/>
      <c r="AS179" s="60"/>
      <c r="AT179" s="60"/>
    </row>
    <row r="180" spans="8:46" ht="20.25" customHeight="1">
      <c r="H180" s="109" t="s">
        <v>253</v>
      </c>
      <c r="I180" s="107" t="s">
        <v>29</v>
      </c>
      <c r="J180" s="232">
        <f t="shared" ref="J180:J184" si="198">SUMIF($L$19:$AO$19,1,L180:AO180)</f>
        <v>0</v>
      </c>
      <c r="K180" s="232">
        <f t="shared" ref="K180:K184" si="199">SUMIF($L$18:$AO$18,1,L180:AO180)</f>
        <v>0</v>
      </c>
      <c r="L180" s="233"/>
      <c r="M180" s="233"/>
      <c r="N180" s="233"/>
      <c r="O180" s="233"/>
      <c r="P180" s="233"/>
      <c r="Q180" s="233"/>
      <c r="R180" s="233"/>
      <c r="S180" s="233"/>
      <c r="T180" s="233"/>
      <c r="U180" s="233"/>
      <c r="V180" s="233"/>
      <c r="W180" s="233"/>
      <c r="X180" s="233"/>
      <c r="Y180" s="233"/>
      <c r="Z180" s="233"/>
      <c r="AA180" s="233"/>
      <c r="AB180" s="233"/>
      <c r="AC180" s="233"/>
      <c r="AD180" s="233"/>
      <c r="AE180" s="233"/>
      <c r="AF180" s="233"/>
      <c r="AG180" s="233"/>
      <c r="AH180" s="233"/>
      <c r="AI180" s="233"/>
      <c r="AJ180" s="233"/>
      <c r="AK180" s="233"/>
      <c r="AL180" s="233"/>
      <c r="AM180" s="233"/>
      <c r="AN180" s="233"/>
      <c r="AO180" s="233"/>
      <c r="AP180" s="60"/>
      <c r="AQ180" s="60"/>
      <c r="AR180" s="60"/>
    </row>
    <row r="181" spans="8:46" ht="20.25" customHeight="1">
      <c r="H181" s="105" t="s">
        <v>254</v>
      </c>
      <c r="I181" s="107" t="s">
        <v>29</v>
      </c>
      <c r="J181" s="232">
        <f t="shared" si="198"/>
        <v>0</v>
      </c>
      <c r="K181" s="232">
        <f t="shared" si="199"/>
        <v>0</v>
      </c>
      <c r="L181" s="233"/>
      <c r="M181" s="233"/>
      <c r="N181" s="233"/>
      <c r="O181" s="233"/>
      <c r="P181" s="233"/>
      <c r="Q181" s="233"/>
      <c r="R181" s="233"/>
      <c r="S181" s="233"/>
      <c r="T181" s="233"/>
      <c r="U181" s="233"/>
      <c r="V181" s="233"/>
      <c r="W181" s="233"/>
      <c r="X181" s="233"/>
      <c r="Y181" s="233"/>
      <c r="Z181" s="233"/>
      <c r="AA181" s="233"/>
      <c r="AB181" s="233"/>
      <c r="AC181" s="233"/>
      <c r="AD181" s="233"/>
      <c r="AE181" s="233"/>
      <c r="AF181" s="233"/>
      <c r="AG181" s="233"/>
      <c r="AH181" s="233"/>
      <c r="AI181" s="233"/>
      <c r="AJ181" s="233"/>
      <c r="AK181" s="233"/>
      <c r="AL181" s="233"/>
      <c r="AM181" s="233"/>
      <c r="AN181" s="233"/>
      <c r="AO181" s="233"/>
      <c r="AP181" s="60"/>
      <c r="AQ181" s="60"/>
      <c r="AR181" s="60"/>
    </row>
    <row r="182" spans="8:46" ht="20.25" customHeight="1">
      <c r="H182" s="105" t="s">
        <v>255</v>
      </c>
      <c r="I182" s="107" t="s">
        <v>29</v>
      </c>
      <c r="J182" s="232">
        <f t="shared" si="198"/>
        <v>0</v>
      </c>
      <c r="K182" s="232">
        <f t="shared" si="199"/>
        <v>0</v>
      </c>
      <c r="L182" s="233"/>
      <c r="M182" s="233"/>
      <c r="N182" s="233"/>
      <c r="O182" s="233"/>
      <c r="P182" s="233"/>
      <c r="Q182" s="233"/>
      <c r="R182" s="233"/>
      <c r="S182" s="233"/>
      <c r="T182" s="233"/>
      <c r="U182" s="233"/>
      <c r="V182" s="233"/>
      <c r="W182" s="233"/>
      <c r="X182" s="233"/>
      <c r="Y182" s="233"/>
      <c r="Z182" s="233"/>
      <c r="AA182" s="233"/>
      <c r="AB182" s="233"/>
      <c r="AC182" s="233"/>
      <c r="AD182" s="233"/>
      <c r="AE182" s="233"/>
      <c r="AF182" s="233"/>
      <c r="AG182" s="233"/>
      <c r="AH182" s="233"/>
      <c r="AI182" s="233"/>
      <c r="AJ182" s="233"/>
      <c r="AK182" s="233"/>
      <c r="AL182" s="233"/>
      <c r="AM182" s="233"/>
      <c r="AN182" s="233"/>
      <c r="AO182" s="233"/>
      <c r="AP182" s="60"/>
      <c r="AQ182" s="60"/>
      <c r="AR182" s="60"/>
    </row>
    <row r="183" spans="8:46" ht="20.25" customHeight="1">
      <c r="H183" s="105" t="s">
        <v>256</v>
      </c>
      <c r="I183" s="107" t="s">
        <v>29</v>
      </c>
      <c r="J183" s="232">
        <f t="shared" si="198"/>
        <v>0</v>
      </c>
      <c r="K183" s="232">
        <f t="shared" si="199"/>
        <v>0</v>
      </c>
      <c r="L183" s="233"/>
      <c r="M183" s="233"/>
      <c r="N183" s="233"/>
      <c r="O183" s="233"/>
      <c r="P183" s="233"/>
      <c r="Q183" s="233"/>
      <c r="R183" s="233"/>
      <c r="S183" s="233"/>
      <c r="T183" s="233"/>
      <c r="U183" s="233"/>
      <c r="V183" s="233"/>
      <c r="W183" s="233"/>
      <c r="X183" s="233"/>
      <c r="Y183" s="233"/>
      <c r="Z183" s="233"/>
      <c r="AA183" s="233"/>
      <c r="AB183" s="233"/>
      <c r="AC183" s="233"/>
      <c r="AD183" s="233"/>
      <c r="AE183" s="233"/>
      <c r="AF183" s="233"/>
      <c r="AG183" s="233"/>
      <c r="AH183" s="233"/>
      <c r="AI183" s="233"/>
      <c r="AJ183" s="233"/>
      <c r="AK183" s="233"/>
      <c r="AL183" s="233"/>
      <c r="AM183" s="233"/>
      <c r="AN183" s="233"/>
      <c r="AO183" s="233"/>
      <c r="AP183" s="60"/>
      <c r="AQ183" s="60"/>
      <c r="AR183" s="60"/>
    </row>
    <row r="184" spans="8:46" ht="20.25" customHeight="1">
      <c r="H184" s="105" t="s">
        <v>68</v>
      </c>
      <c r="I184" s="107" t="s">
        <v>29</v>
      </c>
      <c r="J184" s="232">
        <f t="shared" si="198"/>
        <v>0</v>
      </c>
      <c r="K184" s="232">
        <f t="shared" si="199"/>
        <v>0</v>
      </c>
      <c r="L184" s="233"/>
      <c r="M184" s="233"/>
      <c r="N184" s="233"/>
      <c r="O184" s="233"/>
      <c r="P184" s="233"/>
      <c r="Q184" s="233"/>
      <c r="R184" s="233"/>
      <c r="S184" s="233"/>
      <c r="T184" s="233"/>
      <c r="U184" s="233"/>
      <c r="V184" s="233"/>
      <c r="W184" s="233"/>
      <c r="X184" s="233"/>
      <c r="Y184" s="233"/>
      <c r="Z184" s="233"/>
      <c r="AA184" s="233"/>
      <c r="AB184" s="233"/>
      <c r="AC184" s="233"/>
      <c r="AD184" s="233"/>
      <c r="AE184" s="233"/>
      <c r="AF184" s="233"/>
      <c r="AG184" s="233"/>
      <c r="AH184" s="233"/>
      <c r="AI184" s="233"/>
      <c r="AJ184" s="233"/>
      <c r="AK184" s="233"/>
      <c r="AL184" s="233"/>
      <c r="AM184" s="233"/>
      <c r="AN184" s="233"/>
      <c r="AO184" s="233"/>
      <c r="AP184" s="60"/>
      <c r="AQ184" s="60"/>
      <c r="AR184" s="60"/>
    </row>
    <row r="185" spans="8:46" ht="20.25" customHeight="1">
      <c r="H185" s="120" t="s">
        <v>71</v>
      </c>
      <c r="I185" s="121" t="s">
        <v>29</v>
      </c>
      <c r="J185" s="225">
        <f>SUM(J180:J184)</f>
        <v>0</v>
      </c>
      <c r="K185" s="225">
        <f t="shared" ref="K185:AO185" si="200">SUM(K180:K184)</f>
        <v>0</v>
      </c>
      <c r="L185" s="225">
        <f t="shared" si="200"/>
        <v>0</v>
      </c>
      <c r="M185" s="225">
        <f t="shared" si="200"/>
        <v>0</v>
      </c>
      <c r="N185" s="225">
        <f t="shared" si="200"/>
        <v>0</v>
      </c>
      <c r="O185" s="225">
        <f t="shared" si="200"/>
        <v>0</v>
      </c>
      <c r="P185" s="225">
        <f t="shared" si="200"/>
        <v>0</v>
      </c>
      <c r="Q185" s="225">
        <f t="shared" si="200"/>
        <v>0</v>
      </c>
      <c r="R185" s="225">
        <f t="shared" si="200"/>
        <v>0</v>
      </c>
      <c r="S185" s="225">
        <f t="shared" si="200"/>
        <v>0</v>
      </c>
      <c r="T185" s="225">
        <f t="shared" si="200"/>
        <v>0</v>
      </c>
      <c r="U185" s="225">
        <f t="shared" si="200"/>
        <v>0</v>
      </c>
      <c r="V185" s="225">
        <f t="shared" si="200"/>
        <v>0</v>
      </c>
      <c r="W185" s="225">
        <f t="shared" si="200"/>
        <v>0</v>
      </c>
      <c r="X185" s="225">
        <f t="shared" si="200"/>
        <v>0</v>
      </c>
      <c r="Y185" s="225">
        <f t="shared" si="200"/>
        <v>0</v>
      </c>
      <c r="Z185" s="225">
        <f t="shared" si="200"/>
        <v>0</v>
      </c>
      <c r="AA185" s="225">
        <f t="shared" si="200"/>
        <v>0</v>
      </c>
      <c r="AB185" s="225">
        <f t="shared" si="200"/>
        <v>0</v>
      </c>
      <c r="AC185" s="225">
        <f t="shared" si="200"/>
        <v>0</v>
      </c>
      <c r="AD185" s="225">
        <f t="shared" si="200"/>
        <v>0</v>
      </c>
      <c r="AE185" s="225">
        <f t="shared" si="200"/>
        <v>0</v>
      </c>
      <c r="AF185" s="225">
        <f t="shared" si="200"/>
        <v>0</v>
      </c>
      <c r="AG185" s="225">
        <f t="shared" si="200"/>
        <v>0</v>
      </c>
      <c r="AH185" s="225">
        <f t="shared" si="200"/>
        <v>0</v>
      </c>
      <c r="AI185" s="225">
        <f t="shared" si="200"/>
        <v>0</v>
      </c>
      <c r="AJ185" s="225">
        <f t="shared" si="200"/>
        <v>0</v>
      </c>
      <c r="AK185" s="225">
        <f t="shared" si="200"/>
        <v>0</v>
      </c>
      <c r="AL185" s="225">
        <f t="shared" si="200"/>
        <v>0</v>
      </c>
      <c r="AM185" s="225">
        <f t="shared" si="200"/>
        <v>0</v>
      </c>
      <c r="AN185" s="225">
        <f t="shared" si="200"/>
        <v>0</v>
      </c>
      <c r="AO185" s="225">
        <f t="shared" si="200"/>
        <v>0</v>
      </c>
      <c r="AP185" s="60"/>
      <c r="AQ185" s="60"/>
      <c r="AR185" s="60"/>
      <c r="AS185" s="60"/>
      <c r="AT185" s="60"/>
    </row>
    <row r="186" spans="8:46" ht="20.25" customHeight="1">
      <c r="H186" s="60"/>
      <c r="I186" s="60"/>
      <c r="J186" s="230"/>
      <c r="K186" s="230"/>
      <c r="L186" s="230"/>
      <c r="M186" s="230"/>
      <c r="N186" s="230"/>
      <c r="O186" s="230"/>
      <c r="P186" s="230"/>
      <c r="Q186" s="230"/>
      <c r="R186" s="230"/>
      <c r="S186" s="230"/>
      <c r="T186" s="230"/>
      <c r="U186" s="230"/>
      <c r="V186" s="230"/>
      <c r="W186" s="230"/>
      <c r="X186" s="230"/>
      <c r="Y186" s="230"/>
      <c r="Z186" s="230"/>
      <c r="AA186" s="230"/>
      <c r="AB186" s="230"/>
      <c r="AC186" s="230"/>
      <c r="AD186" s="230"/>
      <c r="AE186" s="230"/>
      <c r="AF186" s="230"/>
      <c r="AG186" s="230"/>
      <c r="AH186" s="230"/>
      <c r="AI186" s="230"/>
      <c r="AJ186" s="230"/>
      <c r="AK186" s="230"/>
      <c r="AL186" s="230"/>
      <c r="AM186" s="230"/>
      <c r="AN186" s="230"/>
      <c r="AO186" s="230"/>
      <c r="AP186" s="60"/>
      <c r="AQ186" s="60"/>
      <c r="AR186" s="60"/>
    </row>
    <row r="187" spans="8:46" ht="20.25" customHeight="1">
      <c r="H187" s="113" t="s">
        <v>77</v>
      </c>
      <c r="I187" s="114"/>
      <c r="J187" s="234"/>
      <c r="K187" s="235"/>
      <c r="L187" s="235"/>
      <c r="M187" s="235"/>
      <c r="N187" s="235"/>
      <c r="O187" s="235"/>
      <c r="P187" s="235"/>
      <c r="Q187" s="235"/>
      <c r="R187" s="235"/>
      <c r="S187" s="235"/>
      <c r="T187" s="235"/>
      <c r="U187" s="235"/>
      <c r="V187" s="235"/>
      <c r="W187" s="235"/>
      <c r="X187" s="235"/>
      <c r="Y187" s="235"/>
      <c r="Z187" s="235"/>
      <c r="AA187" s="235"/>
      <c r="AB187" s="235"/>
      <c r="AC187" s="235"/>
      <c r="AD187" s="235"/>
      <c r="AE187" s="235"/>
      <c r="AF187" s="235"/>
      <c r="AG187" s="235"/>
      <c r="AH187" s="235"/>
      <c r="AI187" s="235"/>
      <c r="AJ187" s="235"/>
      <c r="AK187" s="235"/>
      <c r="AL187" s="235"/>
      <c r="AM187" s="235"/>
      <c r="AN187" s="235"/>
      <c r="AO187" s="235"/>
      <c r="AP187" s="59"/>
      <c r="AQ187" s="59"/>
      <c r="AR187" s="59"/>
    </row>
    <row r="188" spans="8:46" ht="20.25" customHeight="1">
      <c r="H188" s="105" t="s">
        <v>257</v>
      </c>
      <c r="I188" s="107" t="s">
        <v>29</v>
      </c>
      <c r="J188" s="232">
        <f t="shared" ref="J188:J192" si="201">SUMIF($L$19:$AO$19,1,L188:AO188)</f>
        <v>0</v>
      </c>
      <c r="K188" s="232">
        <f t="shared" ref="K188:K192" si="202">SUMIF($L$18:$AO$18,1,L188:AO188)</f>
        <v>0</v>
      </c>
      <c r="L188" s="231">
        <f>-Предпосылки!D334</f>
        <v>0</v>
      </c>
      <c r="M188" s="231">
        <f>-Предпосылки!E334</f>
        <v>0</v>
      </c>
      <c r="N188" s="231">
        <f>-Предпосылки!F334</f>
        <v>0</v>
      </c>
      <c r="O188" s="231">
        <f>-Предпосылки!G334</f>
        <v>0</v>
      </c>
      <c r="P188" s="231">
        <f>-Предпосылки!H334</f>
        <v>0</v>
      </c>
      <c r="Q188" s="231">
        <f>-Предпосылки!I334</f>
        <v>0</v>
      </c>
      <c r="R188" s="231">
        <f>-Предпосылки!J334</f>
        <v>0</v>
      </c>
      <c r="S188" s="231">
        <f>-Предпосылки!K334</f>
        <v>0</v>
      </c>
      <c r="T188" s="231">
        <f>-Предпосылки!L334</f>
        <v>0</v>
      </c>
      <c r="U188" s="231">
        <f>-Предпосылки!M334</f>
        <v>0</v>
      </c>
      <c r="V188" s="231">
        <f>-Предпосылки!N334</f>
        <v>0</v>
      </c>
      <c r="W188" s="231">
        <f>-Предпосылки!O334</f>
        <v>0</v>
      </c>
      <c r="X188" s="231">
        <f>-Предпосылки!P334</f>
        <v>0</v>
      </c>
      <c r="Y188" s="231">
        <f>-Предпосылки!Q334</f>
        <v>0</v>
      </c>
      <c r="Z188" s="231">
        <f>-Предпосылки!R334</f>
        <v>0</v>
      </c>
      <c r="AA188" s="231">
        <f>-Предпосылки!S334</f>
        <v>0</v>
      </c>
      <c r="AB188" s="231">
        <f>-Предпосылки!T334</f>
        <v>0</v>
      </c>
      <c r="AC188" s="231">
        <f>-Предпосылки!U334</f>
        <v>0</v>
      </c>
      <c r="AD188" s="231">
        <f>-Предпосылки!V334</f>
        <v>0</v>
      </c>
      <c r="AE188" s="231">
        <f>-Предпосылки!W334</f>
        <v>0</v>
      </c>
      <c r="AF188" s="231">
        <f>-Предпосылки!X334</f>
        <v>0</v>
      </c>
      <c r="AG188" s="231">
        <f>-Предпосылки!Y334</f>
        <v>0</v>
      </c>
      <c r="AH188" s="231">
        <f>-Предпосылки!Z334</f>
        <v>0</v>
      </c>
      <c r="AI188" s="231">
        <f>-Предпосылки!AA334</f>
        <v>0</v>
      </c>
      <c r="AJ188" s="231">
        <f>-Предпосылки!AB334</f>
        <v>0</v>
      </c>
      <c r="AK188" s="231">
        <f>-Предпосылки!AC334</f>
        <v>0</v>
      </c>
      <c r="AL188" s="231">
        <f>-Предпосылки!AD334</f>
        <v>0</v>
      </c>
      <c r="AM188" s="231">
        <f>-Предпосылки!AE334</f>
        <v>0</v>
      </c>
      <c r="AN188" s="231">
        <f>-Предпосылки!AF334</f>
        <v>0</v>
      </c>
      <c r="AO188" s="231">
        <f>-Предпосылки!AG334</f>
        <v>0</v>
      </c>
      <c r="AP188" s="60"/>
      <c r="AQ188" s="60"/>
      <c r="AR188" s="60"/>
    </row>
    <row r="189" spans="8:46" ht="20.25" customHeight="1">
      <c r="H189" s="105" t="s">
        <v>242</v>
      </c>
      <c r="I189" s="107" t="s">
        <v>29</v>
      </c>
      <c r="J189" s="232">
        <f t="shared" si="201"/>
        <v>0</v>
      </c>
      <c r="K189" s="232">
        <f t="shared" si="202"/>
        <v>0</v>
      </c>
      <c r="L189" s="233"/>
      <c r="M189" s="233"/>
      <c r="N189" s="233"/>
      <c r="O189" s="233"/>
      <c r="P189" s="233"/>
      <c r="Q189" s="233"/>
      <c r="R189" s="233"/>
      <c r="S189" s="233"/>
      <c r="T189" s="233"/>
      <c r="U189" s="233"/>
      <c r="V189" s="233"/>
      <c r="W189" s="233"/>
      <c r="X189" s="233"/>
      <c r="Y189" s="233"/>
      <c r="Z189" s="233"/>
      <c r="AA189" s="233"/>
      <c r="AB189" s="233"/>
      <c r="AC189" s="233"/>
      <c r="AD189" s="233"/>
      <c r="AE189" s="233"/>
      <c r="AF189" s="233"/>
      <c r="AG189" s="233"/>
      <c r="AH189" s="233"/>
      <c r="AI189" s="233"/>
      <c r="AJ189" s="233"/>
      <c r="AK189" s="233"/>
      <c r="AL189" s="233"/>
      <c r="AM189" s="233"/>
      <c r="AN189" s="233"/>
      <c r="AO189" s="233"/>
      <c r="AP189" s="60"/>
      <c r="AQ189" s="60"/>
      <c r="AR189" s="60"/>
    </row>
    <row r="190" spans="8:46" ht="20.25" customHeight="1">
      <c r="H190" s="105" t="s">
        <v>258</v>
      </c>
      <c r="I190" s="107" t="s">
        <v>29</v>
      </c>
      <c r="J190" s="232">
        <f t="shared" si="201"/>
        <v>0</v>
      </c>
      <c r="K190" s="232">
        <f t="shared" si="202"/>
        <v>0</v>
      </c>
      <c r="L190" s="233"/>
      <c r="M190" s="233"/>
      <c r="N190" s="233"/>
      <c r="O190" s="233"/>
      <c r="P190" s="233"/>
      <c r="Q190" s="233"/>
      <c r="R190" s="233"/>
      <c r="S190" s="233"/>
      <c r="T190" s="233"/>
      <c r="U190" s="233"/>
      <c r="V190" s="233"/>
      <c r="W190" s="233"/>
      <c r="X190" s="233"/>
      <c r="Y190" s="233"/>
      <c r="Z190" s="233"/>
      <c r="AA190" s="233"/>
      <c r="AB190" s="233"/>
      <c r="AC190" s="233"/>
      <c r="AD190" s="233"/>
      <c r="AE190" s="233"/>
      <c r="AF190" s="233"/>
      <c r="AG190" s="233"/>
      <c r="AH190" s="233"/>
      <c r="AI190" s="233"/>
      <c r="AJ190" s="233"/>
      <c r="AK190" s="233"/>
      <c r="AL190" s="233"/>
      <c r="AM190" s="233"/>
      <c r="AN190" s="233"/>
      <c r="AO190" s="233"/>
      <c r="AP190" s="60"/>
      <c r="AQ190" s="60"/>
      <c r="AR190" s="60"/>
    </row>
    <row r="191" spans="8:46" ht="20.25" customHeight="1">
      <c r="H191" s="105" t="s">
        <v>259</v>
      </c>
      <c r="I191" s="107" t="s">
        <v>29</v>
      </c>
      <c r="J191" s="232">
        <f t="shared" si="201"/>
        <v>0</v>
      </c>
      <c r="K191" s="232">
        <f t="shared" si="202"/>
        <v>0</v>
      </c>
      <c r="L191" s="233"/>
      <c r="M191" s="233"/>
      <c r="N191" s="233"/>
      <c r="O191" s="233"/>
      <c r="P191" s="233"/>
      <c r="Q191" s="233"/>
      <c r="R191" s="233"/>
      <c r="S191" s="233"/>
      <c r="T191" s="233"/>
      <c r="U191" s="233"/>
      <c r="V191" s="233"/>
      <c r="W191" s="233"/>
      <c r="X191" s="233"/>
      <c r="Y191" s="233"/>
      <c r="Z191" s="233"/>
      <c r="AA191" s="233"/>
      <c r="AB191" s="233"/>
      <c r="AC191" s="233"/>
      <c r="AD191" s="233"/>
      <c r="AE191" s="233"/>
      <c r="AF191" s="233"/>
      <c r="AG191" s="233"/>
      <c r="AH191" s="233"/>
      <c r="AI191" s="233"/>
      <c r="AJ191" s="233"/>
      <c r="AK191" s="233"/>
      <c r="AL191" s="233"/>
      <c r="AM191" s="233"/>
      <c r="AN191" s="233"/>
      <c r="AO191" s="233"/>
      <c r="AP191" s="60"/>
      <c r="AQ191" s="60"/>
      <c r="AR191" s="60"/>
    </row>
    <row r="192" spans="8:46" ht="20.25" customHeight="1">
      <c r="H192" s="105" t="s">
        <v>252</v>
      </c>
      <c r="I192" s="107" t="s">
        <v>29</v>
      </c>
      <c r="J192" s="232">
        <f t="shared" si="201"/>
        <v>0</v>
      </c>
      <c r="K192" s="232">
        <f t="shared" si="202"/>
        <v>0</v>
      </c>
      <c r="L192" s="233"/>
      <c r="M192" s="233"/>
      <c r="N192" s="233"/>
      <c r="O192" s="233"/>
      <c r="P192" s="233"/>
      <c r="Q192" s="233"/>
      <c r="R192" s="233"/>
      <c r="S192" s="233"/>
      <c r="T192" s="233"/>
      <c r="U192" s="233"/>
      <c r="V192" s="233"/>
      <c r="W192" s="233"/>
      <c r="X192" s="233"/>
      <c r="Y192" s="233"/>
      <c r="Z192" s="233"/>
      <c r="AA192" s="233"/>
      <c r="AB192" s="233"/>
      <c r="AC192" s="233"/>
      <c r="AD192" s="233"/>
      <c r="AE192" s="233"/>
      <c r="AF192" s="233"/>
      <c r="AG192" s="233"/>
      <c r="AH192" s="233"/>
      <c r="AI192" s="233"/>
      <c r="AJ192" s="233"/>
      <c r="AK192" s="233"/>
      <c r="AL192" s="233"/>
      <c r="AM192" s="233"/>
      <c r="AN192" s="233"/>
      <c r="AO192" s="233"/>
      <c r="AP192" s="60"/>
      <c r="AQ192" s="60"/>
      <c r="AR192" s="60"/>
    </row>
    <row r="193" spans="8:46" ht="20.25" customHeight="1">
      <c r="H193" s="120" t="s">
        <v>71</v>
      </c>
      <c r="I193" s="121" t="s">
        <v>29</v>
      </c>
      <c r="J193" s="225">
        <f>SUM(J188:J192)</f>
        <v>0</v>
      </c>
      <c r="K193" s="225">
        <f t="shared" ref="K193:AO193" si="203">SUM(K188:K192)</f>
        <v>0</v>
      </c>
      <c r="L193" s="225">
        <f t="shared" si="203"/>
        <v>0</v>
      </c>
      <c r="M193" s="225">
        <f t="shared" si="203"/>
        <v>0</v>
      </c>
      <c r="N193" s="225">
        <f t="shared" si="203"/>
        <v>0</v>
      </c>
      <c r="O193" s="225">
        <f t="shared" si="203"/>
        <v>0</v>
      </c>
      <c r="P193" s="225">
        <f t="shared" si="203"/>
        <v>0</v>
      </c>
      <c r="Q193" s="225">
        <f t="shared" si="203"/>
        <v>0</v>
      </c>
      <c r="R193" s="225">
        <f t="shared" si="203"/>
        <v>0</v>
      </c>
      <c r="S193" s="225">
        <f t="shared" si="203"/>
        <v>0</v>
      </c>
      <c r="T193" s="225">
        <f t="shared" si="203"/>
        <v>0</v>
      </c>
      <c r="U193" s="225">
        <f t="shared" si="203"/>
        <v>0</v>
      </c>
      <c r="V193" s="225">
        <f t="shared" si="203"/>
        <v>0</v>
      </c>
      <c r="W193" s="225">
        <f t="shared" si="203"/>
        <v>0</v>
      </c>
      <c r="X193" s="225">
        <f t="shared" si="203"/>
        <v>0</v>
      </c>
      <c r="Y193" s="225">
        <f t="shared" si="203"/>
        <v>0</v>
      </c>
      <c r="Z193" s="225">
        <f t="shared" si="203"/>
        <v>0</v>
      </c>
      <c r="AA193" s="225">
        <f t="shared" si="203"/>
        <v>0</v>
      </c>
      <c r="AB193" s="225">
        <f t="shared" si="203"/>
        <v>0</v>
      </c>
      <c r="AC193" s="225">
        <f t="shared" si="203"/>
        <v>0</v>
      </c>
      <c r="AD193" s="225">
        <f t="shared" si="203"/>
        <v>0</v>
      </c>
      <c r="AE193" s="225">
        <f t="shared" si="203"/>
        <v>0</v>
      </c>
      <c r="AF193" s="225">
        <f t="shared" si="203"/>
        <v>0</v>
      </c>
      <c r="AG193" s="225">
        <f t="shared" si="203"/>
        <v>0</v>
      </c>
      <c r="AH193" s="225">
        <f t="shared" si="203"/>
        <v>0</v>
      </c>
      <c r="AI193" s="225">
        <f t="shared" si="203"/>
        <v>0</v>
      </c>
      <c r="AJ193" s="225">
        <f t="shared" si="203"/>
        <v>0</v>
      </c>
      <c r="AK193" s="225">
        <f t="shared" si="203"/>
        <v>0</v>
      </c>
      <c r="AL193" s="225">
        <f t="shared" si="203"/>
        <v>0</v>
      </c>
      <c r="AM193" s="225">
        <f t="shared" si="203"/>
        <v>0</v>
      </c>
      <c r="AN193" s="225">
        <f t="shared" si="203"/>
        <v>0</v>
      </c>
      <c r="AO193" s="225">
        <f t="shared" si="203"/>
        <v>0</v>
      </c>
      <c r="AP193" s="60"/>
      <c r="AQ193" s="60"/>
      <c r="AR193" s="60"/>
      <c r="AS193" s="60"/>
      <c r="AT193" s="60"/>
    </row>
    <row r="194" spans="8:46" ht="20.25" customHeight="1">
      <c r="H194" s="60"/>
      <c r="I194" s="60"/>
      <c r="J194" s="230"/>
      <c r="K194" s="230"/>
      <c r="L194" s="230"/>
      <c r="M194" s="230"/>
      <c r="N194" s="230"/>
      <c r="O194" s="230"/>
      <c r="P194" s="230"/>
      <c r="Q194" s="230"/>
      <c r="R194" s="230"/>
      <c r="S194" s="230"/>
      <c r="T194" s="230"/>
      <c r="U194" s="230"/>
      <c r="V194" s="230"/>
      <c r="W194" s="230"/>
      <c r="X194" s="230"/>
      <c r="Y194" s="230"/>
      <c r="Z194" s="230"/>
      <c r="AA194" s="230"/>
      <c r="AB194" s="230"/>
      <c r="AC194" s="230"/>
      <c r="AD194" s="230"/>
      <c r="AE194" s="230"/>
      <c r="AF194" s="230"/>
      <c r="AG194" s="230"/>
      <c r="AH194" s="230"/>
      <c r="AI194" s="230"/>
      <c r="AJ194" s="230"/>
      <c r="AK194" s="230"/>
      <c r="AL194" s="230"/>
      <c r="AM194" s="230"/>
      <c r="AN194" s="230"/>
      <c r="AO194" s="230"/>
      <c r="AP194" s="60"/>
      <c r="AQ194" s="60"/>
      <c r="AR194" s="60"/>
    </row>
    <row r="195" spans="8:46" ht="20.25" customHeight="1">
      <c r="H195" s="120" t="s">
        <v>80</v>
      </c>
      <c r="I195" s="121" t="s">
        <v>29</v>
      </c>
      <c r="J195" s="225">
        <f>J185+J193</f>
        <v>0</v>
      </c>
      <c r="K195" s="225">
        <f t="shared" ref="K195:AO195" si="204">K185+K193</f>
        <v>0</v>
      </c>
      <c r="L195" s="225">
        <f t="shared" si="204"/>
        <v>0</v>
      </c>
      <c r="M195" s="225">
        <f t="shared" si="204"/>
        <v>0</v>
      </c>
      <c r="N195" s="225">
        <f t="shared" si="204"/>
        <v>0</v>
      </c>
      <c r="O195" s="225">
        <f t="shared" si="204"/>
        <v>0</v>
      </c>
      <c r="P195" s="225">
        <f t="shared" si="204"/>
        <v>0</v>
      </c>
      <c r="Q195" s="225">
        <f t="shared" si="204"/>
        <v>0</v>
      </c>
      <c r="R195" s="225">
        <f t="shared" si="204"/>
        <v>0</v>
      </c>
      <c r="S195" s="225">
        <f t="shared" si="204"/>
        <v>0</v>
      </c>
      <c r="T195" s="225">
        <f t="shared" si="204"/>
        <v>0</v>
      </c>
      <c r="U195" s="225">
        <f t="shared" si="204"/>
        <v>0</v>
      </c>
      <c r="V195" s="225">
        <f t="shared" si="204"/>
        <v>0</v>
      </c>
      <c r="W195" s="225">
        <f t="shared" si="204"/>
        <v>0</v>
      </c>
      <c r="X195" s="225">
        <f t="shared" si="204"/>
        <v>0</v>
      </c>
      <c r="Y195" s="225">
        <f t="shared" si="204"/>
        <v>0</v>
      </c>
      <c r="Z195" s="225">
        <f t="shared" si="204"/>
        <v>0</v>
      </c>
      <c r="AA195" s="225">
        <f t="shared" si="204"/>
        <v>0</v>
      </c>
      <c r="AB195" s="225">
        <f t="shared" si="204"/>
        <v>0</v>
      </c>
      <c r="AC195" s="225">
        <f t="shared" si="204"/>
        <v>0</v>
      </c>
      <c r="AD195" s="225">
        <f t="shared" si="204"/>
        <v>0</v>
      </c>
      <c r="AE195" s="225">
        <f t="shared" si="204"/>
        <v>0</v>
      </c>
      <c r="AF195" s="225">
        <f t="shared" si="204"/>
        <v>0</v>
      </c>
      <c r="AG195" s="225">
        <f t="shared" si="204"/>
        <v>0</v>
      </c>
      <c r="AH195" s="225">
        <f t="shared" si="204"/>
        <v>0</v>
      </c>
      <c r="AI195" s="225">
        <f t="shared" si="204"/>
        <v>0</v>
      </c>
      <c r="AJ195" s="225">
        <f t="shared" si="204"/>
        <v>0</v>
      </c>
      <c r="AK195" s="225">
        <f t="shared" si="204"/>
        <v>0</v>
      </c>
      <c r="AL195" s="225">
        <f t="shared" si="204"/>
        <v>0</v>
      </c>
      <c r="AM195" s="225">
        <f t="shared" si="204"/>
        <v>0</v>
      </c>
      <c r="AN195" s="225">
        <f t="shared" si="204"/>
        <v>0</v>
      </c>
      <c r="AO195" s="225">
        <f t="shared" si="204"/>
        <v>0</v>
      </c>
      <c r="AP195" s="60"/>
      <c r="AQ195" s="60"/>
      <c r="AR195" s="60"/>
      <c r="AS195" s="60"/>
      <c r="AT195" s="60"/>
    </row>
    <row r="196" spans="8:46" ht="20.25" customHeight="1">
      <c r="H196" s="60"/>
      <c r="I196" s="60"/>
      <c r="J196" s="230"/>
      <c r="K196" s="230"/>
      <c r="L196" s="230"/>
      <c r="M196" s="230"/>
      <c r="N196" s="230"/>
      <c r="O196" s="230"/>
      <c r="P196" s="230"/>
      <c r="Q196" s="230"/>
      <c r="R196" s="230"/>
      <c r="S196" s="230"/>
      <c r="T196" s="230"/>
      <c r="U196" s="230"/>
      <c r="V196" s="230"/>
      <c r="W196" s="230"/>
      <c r="X196" s="230"/>
      <c r="Y196" s="230"/>
      <c r="Z196" s="230"/>
      <c r="AA196" s="230"/>
      <c r="AB196" s="230"/>
      <c r="AC196" s="230"/>
      <c r="AD196" s="230"/>
      <c r="AE196" s="230"/>
      <c r="AF196" s="230"/>
      <c r="AG196" s="230"/>
      <c r="AH196" s="230"/>
      <c r="AI196" s="230"/>
      <c r="AJ196" s="230"/>
      <c r="AK196" s="230"/>
      <c r="AL196" s="230"/>
      <c r="AM196" s="230"/>
      <c r="AN196" s="230"/>
      <c r="AO196" s="230"/>
      <c r="AP196" s="60"/>
      <c r="AQ196" s="60"/>
      <c r="AR196" s="60"/>
      <c r="AS196" s="60"/>
      <c r="AT196" s="60"/>
    </row>
    <row r="197" spans="8:46" ht="21">
      <c r="H197" s="123" t="s">
        <v>81</v>
      </c>
      <c r="I197" s="124"/>
      <c r="J197" s="236"/>
      <c r="K197" s="236"/>
      <c r="L197" s="237"/>
      <c r="M197" s="237"/>
      <c r="N197" s="237"/>
      <c r="O197" s="237"/>
      <c r="P197" s="237"/>
      <c r="Q197" s="237"/>
      <c r="R197" s="237"/>
      <c r="S197" s="237"/>
      <c r="T197" s="237"/>
      <c r="U197" s="237"/>
      <c r="V197" s="237"/>
      <c r="W197" s="237"/>
      <c r="X197" s="237"/>
      <c r="Y197" s="237"/>
      <c r="Z197" s="237"/>
      <c r="AA197" s="237"/>
      <c r="AB197" s="237"/>
      <c r="AC197" s="237"/>
      <c r="AD197" s="237"/>
      <c r="AE197" s="237"/>
      <c r="AF197" s="237"/>
      <c r="AG197" s="237"/>
      <c r="AH197" s="237"/>
      <c r="AI197" s="237"/>
      <c r="AJ197" s="237"/>
      <c r="AK197" s="237"/>
      <c r="AL197" s="237"/>
      <c r="AM197" s="237"/>
      <c r="AN197" s="237"/>
      <c r="AO197" s="237"/>
      <c r="AP197" s="59"/>
      <c r="AQ197" s="59"/>
      <c r="AR197" s="59"/>
      <c r="AS197" s="59"/>
      <c r="AT197" s="59"/>
    </row>
    <row r="198" spans="8:46" ht="20.25" customHeight="1">
      <c r="H198" s="113" t="s">
        <v>76</v>
      </c>
      <c r="I198" s="114"/>
      <c r="J198" s="234"/>
      <c r="K198" s="235"/>
      <c r="L198" s="235"/>
      <c r="M198" s="235"/>
      <c r="N198" s="235"/>
      <c r="O198" s="235"/>
      <c r="P198" s="235"/>
      <c r="Q198" s="235"/>
      <c r="R198" s="235"/>
      <c r="S198" s="235"/>
      <c r="T198" s="235"/>
      <c r="U198" s="235"/>
      <c r="V198" s="235"/>
      <c r="W198" s="235"/>
      <c r="X198" s="235"/>
      <c r="Y198" s="235"/>
      <c r="Z198" s="235"/>
      <c r="AA198" s="235"/>
      <c r="AB198" s="235"/>
      <c r="AC198" s="235"/>
      <c r="AD198" s="235"/>
      <c r="AE198" s="235"/>
      <c r="AF198" s="235"/>
      <c r="AG198" s="235"/>
      <c r="AH198" s="235"/>
      <c r="AI198" s="235"/>
      <c r="AJ198" s="235"/>
      <c r="AK198" s="235"/>
      <c r="AL198" s="235"/>
      <c r="AM198" s="235"/>
      <c r="AN198" s="235"/>
      <c r="AO198" s="235"/>
      <c r="AP198" s="59"/>
      <c r="AQ198" s="59"/>
      <c r="AR198" s="59"/>
      <c r="AS198" s="60"/>
      <c r="AT198" s="60"/>
    </row>
    <row r="199" spans="8:46" ht="20.25" customHeight="1">
      <c r="H199" s="105" t="s">
        <v>82</v>
      </c>
      <c r="I199" s="107" t="s">
        <v>29</v>
      </c>
      <c r="J199" s="232">
        <f t="shared" ref="J199:J213" si="205">SUMIF($L$19:$AO$19,1,L199:AO199)</f>
        <v>0</v>
      </c>
      <c r="K199" s="232">
        <f t="shared" ref="K199:K213" si="206">SUMIF($L$18:$AO$18,1,L199:AO199)</f>
        <v>0</v>
      </c>
      <c r="L199" s="231">
        <f>L200+L205</f>
        <v>0</v>
      </c>
      <c r="M199" s="231">
        <f t="shared" ref="M199:AO199" si="207">M200+M205</f>
        <v>0</v>
      </c>
      <c r="N199" s="231">
        <f t="shared" si="207"/>
        <v>0</v>
      </c>
      <c r="O199" s="231">
        <f t="shared" si="207"/>
        <v>0</v>
      </c>
      <c r="P199" s="231">
        <f t="shared" si="207"/>
        <v>0</v>
      </c>
      <c r="Q199" s="231">
        <f t="shared" si="207"/>
        <v>0</v>
      </c>
      <c r="R199" s="231">
        <f t="shared" si="207"/>
        <v>0</v>
      </c>
      <c r="S199" s="231">
        <f t="shared" si="207"/>
        <v>0</v>
      </c>
      <c r="T199" s="231">
        <f t="shared" si="207"/>
        <v>0</v>
      </c>
      <c r="U199" s="231">
        <f t="shared" si="207"/>
        <v>0</v>
      </c>
      <c r="V199" s="231">
        <f t="shared" si="207"/>
        <v>0</v>
      </c>
      <c r="W199" s="231">
        <f t="shared" si="207"/>
        <v>0</v>
      </c>
      <c r="X199" s="231">
        <f t="shared" si="207"/>
        <v>0</v>
      </c>
      <c r="Y199" s="231">
        <f t="shared" si="207"/>
        <v>0</v>
      </c>
      <c r="Z199" s="231">
        <f t="shared" si="207"/>
        <v>0</v>
      </c>
      <c r="AA199" s="231">
        <f t="shared" si="207"/>
        <v>0</v>
      </c>
      <c r="AB199" s="231">
        <f t="shared" si="207"/>
        <v>0</v>
      </c>
      <c r="AC199" s="231">
        <f t="shared" si="207"/>
        <v>0</v>
      </c>
      <c r="AD199" s="231">
        <f t="shared" si="207"/>
        <v>0</v>
      </c>
      <c r="AE199" s="231">
        <f t="shared" si="207"/>
        <v>0</v>
      </c>
      <c r="AF199" s="231">
        <f t="shared" si="207"/>
        <v>0</v>
      </c>
      <c r="AG199" s="231">
        <f t="shared" si="207"/>
        <v>0</v>
      </c>
      <c r="AH199" s="231">
        <f t="shared" si="207"/>
        <v>0</v>
      </c>
      <c r="AI199" s="231">
        <f t="shared" si="207"/>
        <v>0</v>
      </c>
      <c r="AJ199" s="231">
        <f t="shared" si="207"/>
        <v>0</v>
      </c>
      <c r="AK199" s="231">
        <f t="shared" si="207"/>
        <v>0</v>
      </c>
      <c r="AL199" s="231">
        <f t="shared" si="207"/>
        <v>0</v>
      </c>
      <c r="AM199" s="231">
        <f t="shared" si="207"/>
        <v>0</v>
      </c>
      <c r="AN199" s="231">
        <f t="shared" si="207"/>
        <v>0</v>
      </c>
      <c r="AO199" s="231">
        <f t="shared" si="207"/>
        <v>0</v>
      </c>
      <c r="AP199" s="60"/>
      <c r="AQ199" s="60"/>
      <c r="AR199" s="60"/>
      <c r="AS199" s="60"/>
      <c r="AT199" s="60"/>
    </row>
    <row r="200" spans="8:46" ht="20.25" customHeight="1">
      <c r="H200" s="105" t="s">
        <v>260</v>
      </c>
      <c r="I200" s="107" t="s">
        <v>29</v>
      </c>
      <c r="J200" s="232">
        <f t="shared" si="205"/>
        <v>0</v>
      </c>
      <c r="K200" s="232">
        <f t="shared" si="206"/>
        <v>0</v>
      </c>
      <c r="L200" s="298">
        <f>SUM(L201:L204)</f>
        <v>0</v>
      </c>
      <c r="M200" s="298">
        <f t="shared" ref="M200:AO200" si="208">SUM(M201:M204)</f>
        <v>0</v>
      </c>
      <c r="N200" s="298">
        <f t="shared" si="208"/>
        <v>0</v>
      </c>
      <c r="O200" s="298">
        <f t="shared" si="208"/>
        <v>0</v>
      </c>
      <c r="P200" s="298">
        <f t="shared" si="208"/>
        <v>0</v>
      </c>
      <c r="Q200" s="298">
        <f t="shared" si="208"/>
        <v>0</v>
      </c>
      <c r="R200" s="298">
        <f t="shared" si="208"/>
        <v>0</v>
      </c>
      <c r="S200" s="298">
        <f t="shared" si="208"/>
        <v>0</v>
      </c>
      <c r="T200" s="298">
        <f t="shared" si="208"/>
        <v>0</v>
      </c>
      <c r="U200" s="298">
        <f t="shared" si="208"/>
        <v>0</v>
      </c>
      <c r="V200" s="298">
        <f t="shared" si="208"/>
        <v>0</v>
      </c>
      <c r="W200" s="298">
        <f t="shared" si="208"/>
        <v>0</v>
      </c>
      <c r="X200" s="298">
        <f t="shared" si="208"/>
        <v>0</v>
      </c>
      <c r="Y200" s="298">
        <f t="shared" si="208"/>
        <v>0</v>
      </c>
      <c r="Z200" s="298">
        <f t="shared" si="208"/>
        <v>0</v>
      </c>
      <c r="AA200" s="298">
        <f t="shared" si="208"/>
        <v>0</v>
      </c>
      <c r="AB200" s="298">
        <f t="shared" si="208"/>
        <v>0</v>
      </c>
      <c r="AC200" s="298">
        <f t="shared" si="208"/>
        <v>0</v>
      </c>
      <c r="AD200" s="298">
        <f t="shared" si="208"/>
        <v>0</v>
      </c>
      <c r="AE200" s="298">
        <f t="shared" si="208"/>
        <v>0</v>
      </c>
      <c r="AF200" s="298">
        <f t="shared" si="208"/>
        <v>0</v>
      </c>
      <c r="AG200" s="298">
        <f t="shared" si="208"/>
        <v>0</v>
      </c>
      <c r="AH200" s="298">
        <f t="shared" si="208"/>
        <v>0</v>
      </c>
      <c r="AI200" s="298">
        <f t="shared" si="208"/>
        <v>0</v>
      </c>
      <c r="AJ200" s="298">
        <f t="shared" si="208"/>
        <v>0</v>
      </c>
      <c r="AK200" s="298">
        <f t="shared" si="208"/>
        <v>0</v>
      </c>
      <c r="AL200" s="298">
        <f t="shared" si="208"/>
        <v>0</v>
      </c>
      <c r="AM200" s="298">
        <f t="shared" si="208"/>
        <v>0</v>
      </c>
      <c r="AN200" s="298">
        <f t="shared" si="208"/>
        <v>0</v>
      </c>
      <c r="AO200" s="298">
        <f t="shared" si="208"/>
        <v>0</v>
      </c>
      <c r="AP200" s="60"/>
      <c r="AQ200" s="60"/>
      <c r="AR200" s="60"/>
      <c r="AS200" s="60"/>
      <c r="AT200" s="60"/>
    </row>
    <row r="201" spans="8:46" ht="20.25" customHeight="1" outlineLevel="1">
      <c r="H201" s="118" t="s">
        <v>261</v>
      </c>
      <c r="I201" s="107" t="s">
        <v>29</v>
      </c>
      <c r="J201" s="232">
        <f t="shared" si="205"/>
        <v>0</v>
      </c>
      <c r="K201" s="232">
        <f t="shared" si="206"/>
        <v>0</v>
      </c>
      <c r="L201" s="299"/>
      <c r="M201" s="299"/>
      <c r="N201" s="299"/>
      <c r="O201" s="299"/>
      <c r="P201" s="299"/>
      <c r="Q201" s="299"/>
      <c r="R201" s="299"/>
      <c r="S201" s="299"/>
      <c r="T201" s="299"/>
      <c r="U201" s="299"/>
      <c r="V201" s="299"/>
      <c r="W201" s="299"/>
      <c r="X201" s="299"/>
      <c r="Y201" s="299"/>
      <c r="Z201" s="299"/>
      <c r="AA201" s="299"/>
      <c r="AB201" s="299"/>
      <c r="AC201" s="299"/>
      <c r="AD201" s="299"/>
      <c r="AE201" s="299"/>
      <c r="AF201" s="299"/>
      <c r="AG201" s="299"/>
      <c r="AH201" s="299"/>
      <c r="AI201" s="299"/>
      <c r="AJ201" s="299"/>
      <c r="AK201" s="299"/>
      <c r="AL201" s="299"/>
      <c r="AM201" s="299"/>
      <c r="AN201" s="299"/>
      <c r="AO201" s="299"/>
      <c r="AP201" s="60"/>
      <c r="AQ201" s="60"/>
      <c r="AR201" s="60"/>
      <c r="AS201" s="60"/>
      <c r="AT201" s="60"/>
    </row>
    <row r="202" spans="8:46" ht="20.25" customHeight="1" outlineLevel="1">
      <c r="H202" s="118" t="s">
        <v>262</v>
      </c>
      <c r="I202" s="107" t="s">
        <v>29</v>
      </c>
      <c r="J202" s="232">
        <f t="shared" si="205"/>
        <v>0</v>
      </c>
      <c r="K202" s="232">
        <f t="shared" si="206"/>
        <v>0</v>
      </c>
      <c r="L202" s="299"/>
      <c r="M202" s="299"/>
      <c r="N202" s="299"/>
      <c r="O202" s="299"/>
      <c r="P202" s="299"/>
      <c r="Q202" s="299"/>
      <c r="R202" s="299"/>
      <c r="S202" s="299"/>
      <c r="T202" s="299"/>
      <c r="U202" s="299"/>
      <c r="V202" s="299"/>
      <c r="W202" s="299"/>
      <c r="X202" s="299"/>
      <c r="Y202" s="299"/>
      <c r="Z202" s="299"/>
      <c r="AA202" s="299"/>
      <c r="AB202" s="299"/>
      <c r="AC202" s="299"/>
      <c r="AD202" s="299"/>
      <c r="AE202" s="299"/>
      <c r="AF202" s="299"/>
      <c r="AG202" s="299"/>
      <c r="AH202" s="299"/>
      <c r="AI202" s="299"/>
      <c r="AJ202" s="299"/>
      <c r="AK202" s="299"/>
      <c r="AL202" s="299"/>
      <c r="AM202" s="299"/>
      <c r="AN202" s="299"/>
      <c r="AO202" s="299"/>
      <c r="AP202" s="60"/>
      <c r="AQ202" s="60"/>
      <c r="AR202" s="60"/>
      <c r="AS202" s="60"/>
      <c r="AT202" s="60"/>
    </row>
    <row r="203" spans="8:46" ht="20.25" customHeight="1" outlineLevel="1">
      <c r="H203" s="118" t="s">
        <v>263</v>
      </c>
      <c r="I203" s="107" t="s">
        <v>29</v>
      </c>
      <c r="J203" s="232">
        <f t="shared" si="205"/>
        <v>0</v>
      </c>
      <c r="K203" s="232">
        <f t="shared" si="206"/>
        <v>0</v>
      </c>
      <c r="L203" s="299"/>
      <c r="M203" s="299"/>
      <c r="N203" s="299"/>
      <c r="O203" s="299"/>
      <c r="P203" s="299"/>
      <c r="Q203" s="299"/>
      <c r="R203" s="299"/>
      <c r="S203" s="299"/>
      <c r="T203" s="299"/>
      <c r="U203" s="299"/>
      <c r="V203" s="299"/>
      <c r="W203" s="299"/>
      <c r="X203" s="299"/>
      <c r="Y203" s="299"/>
      <c r="Z203" s="299"/>
      <c r="AA203" s="299"/>
      <c r="AB203" s="299"/>
      <c r="AC203" s="299"/>
      <c r="AD203" s="299"/>
      <c r="AE203" s="299"/>
      <c r="AF203" s="299"/>
      <c r="AG203" s="299"/>
      <c r="AH203" s="299"/>
      <c r="AI203" s="299"/>
      <c r="AJ203" s="299"/>
      <c r="AK203" s="299"/>
      <c r="AL203" s="299"/>
      <c r="AM203" s="299"/>
      <c r="AN203" s="299"/>
      <c r="AO203" s="299"/>
      <c r="AP203" s="60"/>
      <c r="AQ203" s="60"/>
      <c r="AR203" s="60"/>
      <c r="AS203" s="60"/>
      <c r="AT203" s="60"/>
    </row>
    <row r="204" spans="8:46" ht="20.25" customHeight="1" outlineLevel="1">
      <c r="H204" s="118" t="s">
        <v>264</v>
      </c>
      <c r="I204" s="107" t="s">
        <v>29</v>
      </c>
      <c r="J204" s="232">
        <f t="shared" si="205"/>
        <v>0</v>
      </c>
      <c r="K204" s="232">
        <f t="shared" si="206"/>
        <v>0</v>
      </c>
      <c r="L204" s="299"/>
      <c r="M204" s="299"/>
      <c r="N204" s="299"/>
      <c r="O204" s="299"/>
      <c r="P204" s="299"/>
      <c r="Q204" s="299"/>
      <c r="R204" s="299"/>
      <c r="S204" s="299"/>
      <c r="T204" s="299"/>
      <c r="U204" s="299"/>
      <c r="V204" s="299"/>
      <c r="W204" s="299"/>
      <c r="X204" s="299"/>
      <c r="Y204" s="299"/>
      <c r="Z204" s="299"/>
      <c r="AA204" s="299"/>
      <c r="AB204" s="299"/>
      <c r="AC204" s="299"/>
      <c r="AD204" s="299"/>
      <c r="AE204" s="299"/>
      <c r="AF204" s="299"/>
      <c r="AG204" s="299"/>
      <c r="AH204" s="299"/>
      <c r="AI204" s="299"/>
      <c r="AJ204" s="299"/>
      <c r="AK204" s="299"/>
      <c r="AL204" s="299"/>
      <c r="AM204" s="299"/>
      <c r="AN204" s="299"/>
      <c r="AO204" s="299"/>
      <c r="AP204" s="60"/>
      <c r="AQ204" s="60"/>
      <c r="AR204" s="60"/>
      <c r="AS204" s="60"/>
      <c r="AT204" s="60"/>
    </row>
    <row r="205" spans="8:46" ht="20.25" customHeight="1">
      <c r="H205" s="105" t="s">
        <v>265</v>
      </c>
      <c r="I205" s="107" t="s">
        <v>29</v>
      </c>
      <c r="J205" s="232">
        <f t="shared" si="205"/>
        <v>0</v>
      </c>
      <c r="K205" s="232">
        <f t="shared" si="206"/>
        <v>0</v>
      </c>
      <c r="L205" s="298">
        <f>SUM(L206:L209)</f>
        <v>0</v>
      </c>
      <c r="M205" s="298">
        <f t="shared" ref="M205:AO205" si="209">SUM(M206:M209)</f>
        <v>0</v>
      </c>
      <c r="N205" s="298">
        <f t="shared" si="209"/>
        <v>0</v>
      </c>
      <c r="O205" s="298">
        <f t="shared" si="209"/>
        <v>0</v>
      </c>
      <c r="P205" s="298">
        <f t="shared" si="209"/>
        <v>0</v>
      </c>
      <c r="Q205" s="298">
        <f t="shared" si="209"/>
        <v>0</v>
      </c>
      <c r="R205" s="298">
        <f t="shared" si="209"/>
        <v>0</v>
      </c>
      <c r="S205" s="298">
        <f t="shared" si="209"/>
        <v>0</v>
      </c>
      <c r="T205" s="298">
        <f t="shared" si="209"/>
        <v>0</v>
      </c>
      <c r="U205" s="298">
        <f t="shared" si="209"/>
        <v>0</v>
      </c>
      <c r="V205" s="298">
        <f t="shared" si="209"/>
        <v>0</v>
      </c>
      <c r="W205" s="298">
        <f t="shared" si="209"/>
        <v>0</v>
      </c>
      <c r="X205" s="298">
        <f t="shared" si="209"/>
        <v>0</v>
      </c>
      <c r="Y205" s="298">
        <f t="shared" si="209"/>
        <v>0</v>
      </c>
      <c r="Z205" s="298">
        <f t="shared" si="209"/>
        <v>0</v>
      </c>
      <c r="AA205" s="298">
        <f t="shared" si="209"/>
        <v>0</v>
      </c>
      <c r="AB205" s="298">
        <f t="shared" si="209"/>
        <v>0</v>
      </c>
      <c r="AC205" s="298">
        <f t="shared" si="209"/>
        <v>0</v>
      </c>
      <c r="AD205" s="298">
        <f t="shared" si="209"/>
        <v>0</v>
      </c>
      <c r="AE205" s="298">
        <f t="shared" si="209"/>
        <v>0</v>
      </c>
      <c r="AF205" s="298">
        <f t="shared" si="209"/>
        <v>0</v>
      </c>
      <c r="AG205" s="298">
        <f t="shared" si="209"/>
        <v>0</v>
      </c>
      <c r="AH205" s="298">
        <f t="shared" si="209"/>
        <v>0</v>
      </c>
      <c r="AI205" s="298">
        <f t="shared" si="209"/>
        <v>0</v>
      </c>
      <c r="AJ205" s="298">
        <f t="shared" si="209"/>
        <v>0</v>
      </c>
      <c r="AK205" s="298">
        <f t="shared" si="209"/>
        <v>0</v>
      </c>
      <c r="AL205" s="298">
        <f t="shared" si="209"/>
        <v>0</v>
      </c>
      <c r="AM205" s="298">
        <f t="shared" si="209"/>
        <v>0</v>
      </c>
      <c r="AN205" s="298">
        <f t="shared" si="209"/>
        <v>0</v>
      </c>
      <c r="AO205" s="298">
        <f t="shared" si="209"/>
        <v>0</v>
      </c>
      <c r="AP205" s="60"/>
      <c r="AQ205" s="60"/>
      <c r="AR205" s="60"/>
      <c r="AS205" s="60"/>
      <c r="AT205" s="60"/>
    </row>
    <row r="206" spans="8:46" ht="20.25" customHeight="1" outlineLevel="1">
      <c r="H206" s="118" t="s">
        <v>266</v>
      </c>
      <c r="I206" s="107" t="s">
        <v>29</v>
      </c>
      <c r="J206" s="232">
        <f t="shared" si="205"/>
        <v>0</v>
      </c>
      <c r="K206" s="232">
        <f t="shared" si="206"/>
        <v>0</v>
      </c>
      <c r="L206" s="233"/>
      <c r="M206" s="233"/>
      <c r="N206" s="233"/>
      <c r="O206" s="233"/>
      <c r="P206" s="233"/>
      <c r="Q206" s="233"/>
      <c r="R206" s="233"/>
      <c r="S206" s="233"/>
      <c r="T206" s="233"/>
      <c r="U206" s="233"/>
      <c r="V206" s="233"/>
      <c r="W206" s="233"/>
      <c r="X206" s="233"/>
      <c r="Y206" s="233"/>
      <c r="Z206" s="233"/>
      <c r="AA206" s="233"/>
      <c r="AB206" s="233"/>
      <c r="AC206" s="233"/>
      <c r="AD206" s="233"/>
      <c r="AE206" s="233"/>
      <c r="AF206" s="233"/>
      <c r="AG206" s="233"/>
      <c r="AH206" s="233"/>
      <c r="AI206" s="233"/>
      <c r="AJ206" s="233"/>
      <c r="AK206" s="233"/>
      <c r="AL206" s="233"/>
      <c r="AM206" s="233"/>
      <c r="AN206" s="233"/>
      <c r="AO206" s="233"/>
      <c r="AP206" s="60"/>
      <c r="AQ206" s="60"/>
      <c r="AR206" s="60"/>
      <c r="AS206" s="60"/>
      <c r="AT206" s="60"/>
    </row>
    <row r="207" spans="8:46" ht="20.25" customHeight="1" outlineLevel="1">
      <c r="H207" s="118" t="s">
        <v>267</v>
      </c>
      <c r="I207" s="107" t="s">
        <v>29</v>
      </c>
      <c r="J207" s="232">
        <f t="shared" si="205"/>
        <v>0</v>
      </c>
      <c r="K207" s="232">
        <f t="shared" si="206"/>
        <v>0</v>
      </c>
      <c r="L207" s="233"/>
      <c r="M207" s="233"/>
      <c r="N207" s="233"/>
      <c r="O207" s="233"/>
      <c r="P207" s="233"/>
      <c r="Q207" s="233"/>
      <c r="R207" s="233"/>
      <c r="S207" s="233"/>
      <c r="T207" s="233"/>
      <c r="U207" s="233"/>
      <c r="V207" s="233"/>
      <c r="W207" s="233"/>
      <c r="X207" s="233"/>
      <c r="Y207" s="233"/>
      <c r="Z207" s="233"/>
      <c r="AA207" s="233"/>
      <c r="AB207" s="233"/>
      <c r="AC207" s="233"/>
      <c r="AD207" s="233"/>
      <c r="AE207" s="233"/>
      <c r="AF207" s="233"/>
      <c r="AG207" s="233"/>
      <c r="AH207" s="233"/>
      <c r="AI207" s="233"/>
      <c r="AJ207" s="233"/>
      <c r="AK207" s="233"/>
      <c r="AL207" s="233"/>
      <c r="AM207" s="233"/>
      <c r="AN207" s="233"/>
      <c r="AO207" s="233"/>
      <c r="AP207" s="60"/>
      <c r="AQ207" s="60"/>
      <c r="AR207" s="60"/>
      <c r="AS207" s="60"/>
      <c r="AT207" s="60"/>
    </row>
    <row r="208" spans="8:46" ht="20.25" customHeight="1" outlineLevel="1">
      <c r="H208" s="118" t="s">
        <v>268</v>
      </c>
      <c r="I208" s="107" t="s">
        <v>29</v>
      </c>
      <c r="J208" s="232">
        <f t="shared" si="205"/>
        <v>0</v>
      </c>
      <c r="K208" s="232">
        <f t="shared" si="206"/>
        <v>0</v>
      </c>
      <c r="L208" s="233"/>
      <c r="M208" s="233"/>
      <c r="N208" s="233"/>
      <c r="O208" s="233"/>
      <c r="P208" s="233"/>
      <c r="Q208" s="233"/>
      <c r="R208" s="233"/>
      <c r="S208" s="233"/>
      <c r="T208" s="233"/>
      <c r="U208" s="233"/>
      <c r="V208" s="233"/>
      <c r="W208" s="233"/>
      <c r="X208" s="233"/>
      <c r="Y208" s="233"/>
      <c r="Z208" s="233"/>
      <c r="AA208" s="233"/>
      <c r="AB208" s="233"/>
      <c r="AC208" s="233"/>
      <c r="AD208" s="233"/>
      <c r="AE208" s="233"/>
      <c r="AF208" s="233"/>
      <c r="AG208" s="233"/>
      <c r="AH208" s="233"/>
      <c r="AI208" s="233"/>
      <c r="AJ208" s="233"/>
      <c r="AK208" s="233"/>
      <c r="AL208" s="233"/>
      <c r="AM208" s="233"/>
      <c r="AN208" s="233"/>
      <c r="AO208" s="233"/>
      <c r="AP208" s="60"/>
      <c r="AQ208" s="60"/>
      <c r="AR208" s="60"/>
      <c r="AS208" s="60"/>
      <c r="AT208" s="60"/>
    </row>
    <row r="209" spans="8:46" ht="20.25" customHeight="1" outlineLevel="1">
      <c r="H209" s="118" t="s">
        <v>269</v>
      </c>
      <c r="I209" s="107" t="s">
        <v>29</v>
      </c>
      <c r="J209" s="232">
        <f t="shared" si="205"/>
        <v>0</v>
      </c>
      <c r="K209" s="232">
        <f t="shared" si="206"/>
        <v>0</v>
      </c>
      <c r="L209" s="233"/>
      <c r="M209" s="233"/>
      <c r="N209" s="233"/>
      <c r="O209" s="233"/>
      <c r="P209" s="233"/>
      <c r="Q209" s="233"/>
      <c r="R209" s="233"/>
      <c r="S209" s="233"/>
      <c r="T209" s="233"/>
      <c r="U209" s="233"/>
      <c r="V209" s="233"/>
      <c r="W209" s="233"/>
      <c r="X209" s="233"/>
      <c r="Y209" s="233"/>
      <c r="Z209" s="233"/>
      <c r="AA209" s="233"/>
      <c r="AB209" s="233"/>
      <c r="AC209" s="233"/>
      <c r="AD209" s="233"/>
      <c r="AE209" s="233"/>
      <c r="AF209" s="233"/>
      <c r="AG209" s="233"/>
      <c r="AH209" s="233"/>
      <c r="AI209" s="233"/>
      <c r="AJ209" s="233"/>
      <c r="AK209" s="233"/>
      <c r="AL209" s="233"/>
      <c r="AM209" s="233"/>
      <c r="AN209" s="233"/>
      <c r="AO209" s="233"/>
      <c r="AP209" s="60"/>
      <c r="AQ209" s="60"/>
      <c r="AR209" s="60"/>
      <c r="AS209" s="60"/>
      <c r="AT209" s="60"/>
    </row>
    <row r="210" spans="8:46" ht="20.25" customHeight="1">
      <c r="H210" s="105" t="s">
        <v>270</v>
      </c>
      <c r="I210" s="107" t="s">
        <v>29</v>
      </c>
      <c r="J210" s="232">
        <f t="shared" si="205"/>
        <v>0</v>
      </c>
      <c r="K210" s="232">
        <f t="shared" si="206"/>
        <v>0</v>
      </c>
      <c r="L210" s="233"/>
      <c r="M210" s="233"/>
      <c r="N210" s="233"/>
      <c r="O210" s="233"/>
      <c r="P210" s="233"/>
      <c r="Q210" s="233"/>
      <c r="R210" s="233"/>
      <c r="S210" s="233"/>
      <c r="T210" s="233"/>
      <c r="U210" s="233"/>
      <c r="V210" s="233"/>
      <c r="W210" s="233"/>
      <c r="X210" s="233"/>
      <c r="Y210" s="233"/>
      <c r="Z210" s="233"/>
      <c r="AA210" s="233"/>
      <c r="AB210" s="233"/>
      <c r="AC210" s="233"/>
      <c r="AD210" s="233"/>
      <c r="AE210" s="233"/>
      <c r="AF210" s="233"/>
      <c r="AG210" s="233"/>
      <c r="AH210" s="233"/>
      <c r="AI210" s="233"/>
      <c r="AJ210" s="233"/>
      <c r="AK210" s="233"/>
      <c r="AL210" s="233"/>
      <c r="AM210" s="233"/>
      <c r="AN210" s="233"/>
      <c r="AO210" s="233"/>
      <c r="AP210" s="60"/>
      <c r="AQ210" s="60"/>
      <c r="AR210" s="60"/>
      <c r="AS210" s="60"/>
      <c r="AT210" s="60"/>
    </row>
    <row r="211" spans="8:46" ht="20.25" customHeight="1">
      <c r="H211" s="105" t="s">
        <v>271</v>
      </c>
      <c r="I211" s="107" t="s">
        <v>29</v>
      </c>
      <c r="J211" s="232">
        <f t="shared" si="205"/>
        <v>0</v>
      </c>
      <c r="K211" s="232">
        <f t="shared" si="206"/>
        <v>0</v>
      </c>
      <c r="L211" s="233"/>
      <c r="M211" s="233"/>
      <c r="N211" s="233"/>
      <c r="O211" s="233"/>
      <c r="P211" s="233"/>
      <c r="Q211" s="233"/>
      <c r="R211" s="233"/>
      <c r="S211" s="233"/>
      <c r="T211" s="233"/>
      <c r="U211" s="233"/>
      <c r="V211" s="233"/>
      <c r="W211" s="233"/>
      <c r="X211" s="233"/>
      <c r="Y211" s="233"/>
      <c r="Z211" s="233"/>
      <c r="AA211" s="233"/>
      <c r="AB211" s="233"/>
      <c r="AC211" s="233"/>
      <c r="AD211" s="233"/>
      <c r="AE211" s="233"/>
      <c r="AF211" s="233"/>
      <c r="AG211" s="233"/>
      <c r="AH211" s="233"/>
      <c r="AI211" s="233"/>
      <c r="AJ211" s="233"/>
      <c r="AK211" s="233"/>
      <c r="AL211" s="233"/>
      <c r="AM211" s="233"/>
      <c r="AN211" s="233"/>
      <c r="AO211" s="233"/>
      <c r="AP211" s="60"/>
      <c r="AQ211" s="60"/>
      <c r="AR211" s="60"/>
      <c r="AS211" s="60"/>
      <c r="AT211" s="60"/>
    </row>
    <row r="212" spans="8:46" ht="20.25" customHeight="1">
      <c r="H212" s="105" t="s">
        <v>272</v>
      </c>
      <c r="I212" s="107" t="s">
        <v>29</v>
      </c>
      <c r="J212" s="232">
        <f t="shared" si="205"/>
        <v>0</v>
      </c>
      <c r="K212" s="232">
        <f t="shared" si="206"/>
        <v>0</v>
      </c>
      <c r="L212" s="233"/>
      <c r="M212" s="233"/>
      <c r="N212" s="233"/>
      <c r="O212" s="233"/>
      <c r="P212" s="233"/>
      <c r="Q212" s="233"/>
      <c r="R212" s="233"/>
      <c r="S212" s="233"/>
      <c r="T212" s="233"/>
      <c r="U212" s="233"/>
      <c r="V212" s="233"/>
      <c r="W212" s="233"/>
      <c r="X212" s="233"/>
      <c r="Y212" s="233"/>
      <c r="Z212" s="233"/>
      <c r="AA212" s="233"/>
      <c r="AB212" s="233"/>
      <c r="AC212" s="233"/>
      <c r="AD212" s="233"/>
      <c r="AE212" s="233"/>
      <c r="AF212" s="233"/>
      <c r="AG212" s="233"/>
      <c r="AH212" s="233"/>
      <c r="AI212" s="233"/>
      <c r="AJ212" s="233"/>
      <c r="AK212" s="233"/>
      <c r="AL212" s="233"/>
      <c r="AM212" s="233"/>
      <c r="AN212" s="233"/>
      <c r="AO212" s="233"/>
      <c r="AP212" s="60"/>
      <c r="AQ212" s="60"/>
      <c r="AR212" s="60"/>
    </row>
    <row r="213" spans="8:46" ht="20.25" customHeight="1">
      <c r="H213" s="105" t="s">
        <v>68</v>
      </c>
      <c r="I213" s="107" t="s">
        <v>29</v>
      </c>
      <c r="J213" s="232">
        <f t="shared" si="205"/>
        <v>0</v>
      </c>
      <c r="K213" s="232">
        <f t="shared" si="206"/>
        <v>0</v>
      </c>
      <c r="L213" s="233"/>
      <c r="M213" s="233"/>
      <c r="N213" s="233"/>
      <c r="O213" s="233"/>
      <c r="P213" s="233"/>
      <c r="Q213" s="233"/>
      <c r="R213" s="233"/>
      <c r="S213" s="233"/>
      <c r="T213" s="233"/>
      <c r="U213" s="233"/>
      <c r="V213" s="233"/>
      <c r="W213" s="233"/>
      <c r="X213" s="233"/>
      <c r="Y213" s="233"/>
      <c r="Z213" s="233"/>
      <c r="AA213" s="233"/>
      <c r="AB213" s="233"/>
      <c r="AC213" s="233"/>
      <c r="AD213" s="233"/>
      <c r="AE213" s="233"/>
      <c r="AF213" s="233"/>
      <c r="AG213" s="233"/>
      <c r="AH213" s="233"/>
      <c r="AI213" s="233"/>
      <c r="AJ213" s="233"/>
      <c r="AK213" s="233"/>
      <c r="AL213" s="233"/>
      <c r="AM213" s="233"/>
      <c r="AN213" s="233"/>
      <c r="AO213" s="233"/>
      <c r="AP213" s="60"/>
      <c r="AQ213" s="60"/>
      <c r="AR213" s="60"/>
    </row>
    <row r="214" spans="8:46" ht="20.25" customHeight="1">
      <c r="H214" s="120" t="s">
        <v>71</v>
      </c>
      <c r="I214" s="121" t="s">
        <v>29</v>
      </c>
      <c r="J214" s="225">
        <f t="shared" ref="J214:K214" si="210">J199+SUM(J210:J213)</f>
        <v>0</v>
      </c>
      <c r="K214" s="225">
        <f t="shared" si="210"/>
        <v>0</v>
      </c>
      <c r="L214" s="225">
        <f>L199+SUM(L210:L213)</f>
        <v>0</v>
      </c>
      <c r="M214" s="225">
        <f t="shared" ref="M214:AO214" si="211">M199+SUM(M210:M213)</f>
        <v>0</v>
      </c>
      <c r="N214" s="225">
        <f t="shared" si="211"/>
        <v>0</v>
      </c>
      <c r="O214" s="225">
        <f t="shared" si="211"/>
        <v>0</v>
      </c>
      <c r="P214" s="225">
        <f t="shared" si="211"/>
        <v>0</v>
      </c>
      <c r="Q214" s="225">
        <f t="shared" si="211"/>
        <v>0</v>
      </c>
      <c r="R214" s="225">
        <f t="shared" si="211"/>
        <v>0</v>
      </c>
      <c r="S214" s="225">
        <f t="shared" si="211"/>
        <v>0</v>
      </c>
      <c r="T214" s="225">
        <f t="shared" si="211"/>
        <v>0</v>
      </c>
      <c r="U214" s="225">
        <f t="shared" si="211"/>
        <v>0</v>
      </c>
      <c r="V214" s="225">
        <f t="shared" si="211"/>
        <v>0</v>
      </c>
      <c r="W214" s="225">
        <f t="shared" si="211"/>
        <v>0</v>
      </c>
      <c r="X214" s="225">
        <f t="shared" si="211"/>
        <v>0</v>
      </c>
      <c r="Y214" s="225">
        <f t="shared" si="211"/>
        <v>0</v>
      </c>
      <c r="Z214" s="225">
        <f t="shared" si="211"/>
        <v>0</v>
      </c>
      <c r="AA214" s="225">
        <f t="shared" si="211"/>
        <v>0</v>
      </c>
      <c r="AB214" s="225">
        <f t="shared" si="211"/>
        <v>0</v>
      </c>
      <c r="AC214" s="225">
        <f t="shared" si="211"/>
        <v>0</v>
      </c>
      <c r="AD214" s="225">
        <f t="shared" si="211"/>
        <v>0</v>
      </c>
      <c r="AE214" s="225">
        <f t="shared" si="211"/>
        <v>0</v>
      </c>
      <c r="AF214" s="225">
        <f t="shared" si="211"/>
        <v>0</v>
      </c>
      <c r="AG214" s="225">
        <f t="shared" si="211"/>
        <v>0</v>
      </c>
      <c r="AH214" s="225">
        <f t="shared" si="211"/>
        <v>0</v>
      </c>
      <c r="AI214" s="225">
        <f t="shared" si="211"/>
        <v>0</v>
      </c>
      <c r="AJ214" s="225">
        <f t="shared" si="211"/>
        <v>0</v>
      </c>
      <c r="AK214" s="225">
        <f t="shared" si="211"/>
        <v>0</v>
      </c>
      <c r="AL214" s="225">
        <f t="shared" si="211"/>
        <v>0</v>
      </c>
      <c r="AM214" s="225">
        <f t="shared" si="211"/>
        <v>0</v>
      </c>
      <c r="AN214" s="225">
        <f t="shared" si="211"/>
        <v>0</v>
      </c>
      <c r="AO214" s="225">
        <f t="shared" si="211"/>
        <v>0</v>
      </c>
      <c r="AP214" s="60"/>
      <c r="AQ214" s="60"/>
      <c r="AR214" s="60"/>
      <c r="AS214" s="60"/>
      <c r="AT214" s="60"/>
    </row>
    <row r="215" spans="8:46" ht="20.25" customHeight="1">
      <c r="H215" s="60"/>
      <c r="I215" s="60"/>
      <c r="J215" s="230"/>
      <c r="K215" s="230"/>
      <c r="L215" s="230"/>
      <c r="M215" s="230"/>
      <c r="N215" s="230"/>
      <c r="O215" s="230"/>
      <c r="P215" s="230"/>
      <c r="Q215" s="230"/>
      <c r="R215" s="230"/>
      <c r="S215" s="230"/>
      <c r="T215" s="230"/>
      <c r="U215" s="230"/>
      <c r="V215" s="230"/>
      <c r="W215" s="230"/>
      <c r="X215" s="230"/>
      <c r="Y215" s="230"/>
      <c r="Z215" s="230"/>
      <c r="AA215" s="230"/>
      <c r="AB215" s="230"/>
      <c r="AC215" s="230"/>
      <c r="AD215" s="230"/>
      <c r="AE215" s="230"/>
      <c r="AF215" s="230"/>
      <c r="AG215" s="230"/>
      <c r="AH215" s="230"/>
      <c r="AI215" s="230"/>
      <c r="AJ215" s="230"/>
      <c r="AK215" s="230"/>
      <c r="AL215" s="230"/>
      <c r="AM215" s="230"/>
      <c r="AN215" s="230"/>
      <c r="AO215" s="230"/>
      <c r="AP215" s="60"/>
      <c r="AQ215" s="60"/>
      <c r="AR215" s="60"/>
    </row>
    <row r="216" spans="8:46" ht="20.25" customHeight="1">
      <c r="H216" s="113" t="s">
        <v>77</v>
      </c>
      <c r="I216" s="114"/>
      <c r="J216" s="234"/>
      <c r="K216" s="235"/>
      <c r="L216" s="235"/>
      <c r="M216" s="235"/>
      <c r="N216" s="235"/>
      <c r="O216" s="235"/>
      <c r="P216" s="235"/>
      <c r="Q216" s="235"/>
      <c r="R216" s="235"/>
      <c r="S216" s="235"/>
      <c r="T216" s="235"/>
      <c r="U216" s="235"/>
      <c r="V216" s="235"/>
      <c r="W216" s="235"/>
      <c r="X216" s="235"/>
      <c r="Y216" s="235"/>
      <c r="Z216" s="235"/>
      <c r="AA216" s="235"/>
      <c r="AB216" s="235"/>
      <c r="AC216" s="235"/>
      <c r="AD216" s="235"/>
      <c r="AE216" s="235"/>
      <c r="AF216" s="235"/>
      <c r="AG216" s="235"/>
      <c r="AH216" s="235"/>
      <c r="AI216" s="235"/>
      <c r="AJ216" s="235"/>
      <c r="AK216" s="235"/>
      <c r="AL216" s="235"/>
      <c r="AM216" s="235"/>
      <c r="AN216" s="235"/>
      <c r="AO216" s="235"/>
      <c r="AP216" s="59"/>
      <c r="AQ216" s="59"/>
      <c r="AR216" s="59"/>
    </row>
    <row r="217" spans="8:46" ht="20.25" customHeight="1">
      <c r="H217" s="105" t="s">
        <v>273</v>
      </c>
      <c r="I217" s="107" t="s">
        <v>29</v>
      </c>
      <c r="J217" s="232">
        <f t="shared" ref="J217:J229" si="212">SUMIF($L$19:$AO$19,1,L217:AO217)</f>
        <v>0</v>
      </c>
      <c r="K217" s="232">
        <f t="shared" ref="K217:K229" si="213">SUMIF($L$18:$AO$18,1,L217:AO217)</f>
        <v>0</v>
      </c>
      <c r="L217" s="233"/>
      <c r="M217" s="233"/>
      <c r="N217" s="233"/>
      <c r="O217" s="233"/>
      <c r="P217" s="233"/>
      <c r="Q217" s="233"/>
      <c r="R217" s="233"/>
      <c r="S217" s="233"/>
      <c r="T217" s="233"/>
      <c r="U217" s="233"/>
      <c r="V217" s="233"/>
      <c r="W217" s="233"/>
      <c r="X217" s="233"/>
      <c r="Y217" s="233"/>
      <c r="Z217" s="233"/>
      <c r="AA217" s="233"/>
      <c r="AB217" s="233"/>
      <c r="AC217" s="233"/>
      <c r="AD217" s="233"/>
      <c r="AE217" s="233"/>
      <c r="AF217" s="233"/>
      <c r="AG217" s="233"/>
      <c r="AH217" s="233"/>
      <c r="AI217" s="233"/>
      <c r="AJ217" s="233"/>
      <c r="AK217" s="233"/>
      <c r="AL217" s="233"/>
      <c r="AM217" s="233"/>
      <c r="AN217" s="233"/>
      <c r="AO217" s="233"/>
      <c r="AP217" s="60"/>
      <c r="AQ217" s="60"/>
      <c r="AR217" s="60"/>
    </row>
    <row r="218" spans="8:46" ht="20.25" customHeight="1">
      <c r="H218" s="105" t="s">
        <v>274</v>
      </c>
      <c r="I218" s="107" t="s">
        <v>29</v>
      </c>
      <c r="J218" s="232">
        <f t="shared" si="212"/>
        <v>0</v>
      </c>
      <c r="K218" s="232">
        <f t="shared" si="213"/>
        <v>0</v>
      </c>
      <c r="L218" s="233"/>
      <c r="M218" s="233"/>
      <c r="N218" s="233"/>
      <c r="O218" s="233"/>
      <c r="P218" s="233"/>
      <c r="Q218" s="233"/>
      <c r="R218" s="233"/>
      <c r="S218" s="233"/>
      <c r="T218" s="233"/>
      <c r="U218" s="233"/>
      <c r="V218" s="233"/>
      <c r="W218" s="233"/>
      <c r="X218" s="233"/>
      <c r="Y218" s="233"/>
      <c r="Z218" s="233"/>
      <c r="AA218" s="233"/>
      <c r="AB218" s="233"/>
      <c r="AC218" s="233"/>
      <c r="AD218" s="233"/>
      <c r="AE218" s="233"/>
      <c r="AF218" s="233"/>
      <c r="AG218" s="233"/>
      <c r="AH218" s="233"/>
      <c r="AI218" s="233"/>
      <c r="AJ218" s="233"/>
      <c r="AK218" s="233"/>
      <c r="AL218" s="233"/>
      <c r="AM218" s="233"/>
      <c r="AN218" s="233"/>
      <c r="AO218" s="233"/>
      <c r="AP218" s="60"/>
      <c r="AQ218" s="60"/>
      <c r="AR218" s="60"/>
    </row>
    <row r="219" spans="8:46" ht="20.25" customHeight="1">
      <c r="H219" s="105" t="s">
        <v>226</v>
      </c>
      <c r="I219" s="107" t="s">
        <v>29</v>
      </c>
      <c r="J219" s="232">
        <f t="shared" si="212"/>
        <v>0</v>
      </c>
      <c r="K219" s="232">
        <f t="shared" si="213"/>
        <v>0</v>
      </c>
      <c r="L219" s="231">
        <f>L220+L225</f>
        <v>0</v>
      </c>
      <c r="M219" s="231">
        <f t="shared" ref="M219:AO219" si="214">M220+M225</f>
        <v>0</v>
      </c>
      <c r="N219" s="231">
        <f t="shared" si="214"/>
        <v>0</v>
      </c>
      <c r="O219" s="231">
        <f t="shared" si="214"/>
        <v>0</v>
      </c>
      <c r="P219" s="231">
        <f t="shared" si="214"/>
        <v>0</v>
      </c>
      <c r="Q219" s="231">
        <f t="shared" si="214"/>
        <v>0</v>
      </c>
      <c r="R219" s="231">
        <f t="shared" si="214"/>
        <v>0</v>
      </c>
      <c r="S219" s="231">
        <f t="shared" si="214"/>
        <v>0</v>
      </c>
      <c r="T219" s="231">
        <f t="shared" si="214"/>
        <v>0</v>
      </c>
      <c r="U219" s="231">
        <f t="shared" si="214"/>
        <v>0</v>
      </c>
      <c r="V219" s="231">
        <f t="shared" si="214"/>
        <v>0</v>
      </c>
      <c r="W219" s="231">
        <f t="shared" si="214"/>
        <v>0</v>
      </c>
      <c r="X219" s="231">
        <f t="shared" si="214"/>
        <v>0</v>
      </c>
      <c r="Y219" s="231">
        <f t="shared" si="214"/>
        <v>0</v>
      </c>
      <c r="Z219" s="231">
        <f t="shared" si="214"/>
        <v>0</v>
      </c>
      <c r="AA219" s="231">
        <f t="shared" si="214"/>
        <v>0</v>
      </c>
      <c r="AB219" s="231">
        <f t="shared" si="214"/>
        <v>0</v>
      </c>
      <c r="AC219" s="231">
        <f t="shared" si="214"/>
        <v>0</v>
      </c>
      <c r="AD219" s="231">
        <f t="shared" si="214"/>
        <v>0</v>
      </c>
      <c r="AE219" s="231">
        <f t="shared" si="214"/>
        <v>0</v>
      </c>
      <c r="AF219" s="231">
        <f t="shared" si="214"/>
        <v>0</v>
      </c>
      <c r="AG219" s="231">
        <f t="shared" si="214"/>
        <v>0</v>
      </c>
      <c r="AH219" s="231">
        <f t="shared" si="214"/>
        <v>0</v>
      </c>
      <c r="AI219" s="231">
        <f t="shared" si="214"/>
        <v>0</v>
      </c>
      <c r="AJ219" s="231">
        <f t="shared" si="214"/>
        <v>0</v>
      </c>
      <c r="AK219" s="231">
        <f t="shared" si="214"/>
        <v>0</v>
      </c>
      <c r="AL219" s="231">
        <f t="shared" si="214"/>
        <v>0</v>
      </c>
      <c r="AM219" s="231">
        <f t="shared" si="214"/>
        <v>0</v>
      </c>
      <c r="AN219" s="231">
        <f t="shared" si="214"/>
        <v>0</v>
      </c>
      <c r="AO219" s="231">
        <f t="shared" si="214"/>
        <v>0</v>
      </c>
      <c r="AP219" s="60"/>
      <c r="AQ219" s="60"/>
      <c r="AR219" s="60"/>
    </row>
    <row r="220" spans="8:46" ht="20.25" customHeight="1">
      <c r="H220" s="105" t="s">
        <v>275</v>
      </c>
      <c r="I220" s="107" t="s">
        <v>29</v>
      </c>
      <c r="J220" s="232">
        <f t="shared" si="212"/>
        <v>0</v>
      </c>
      <c r="K220" s="232">
        <f t="shared" si="213"/>
        <v>0</v>
      </c>
      <c r="L220" s="298">
        <f>SUM(L221:L224)</f>
        <v>0</v>
      </c>
      <c r="M220" s="298">
        <f t="shared" ref="M220:AO220" si="215">SUM(M221:M224)</f>
        <v>0</v>
      </c>
      <c r="N220" s="298">
        <f t="shared" si="215"/>
        <v>0</v>
      </c>
      <c r="O220" s="298">
        <f t="shared" si="215"/>
        <v>0</v>
      </c>
      <c r="P220" s="298">
        <f t="shared" si="215"/>
        <v>0</v>
      </c>
      <c r="Q220" s="298">
        <f t="shared" si="215"/>
        <v>0</v>
      </c>
      <c r="R220" s="298">
        <f t="shared" si="215"/>
        <v>0</v>
      </c>
      <c r="S220" s="298">
        <f t="shared" si="215"/>
        <v>0</v>
      </c>
      <c r="T220" s="298">
        <f t="shared" si="215"/>
        <v>0</v>
      </c>
      <c r="U220" s="298">
        <f t="shared" si="215"/>
        <v>0</v>
      </c>
      <c r="V220" s="298">
        <f t="shared" si="215"/>
        <v>0</v>
      </c>
      <c r="W220" s="298">
        <f t="shared" si="215"/>
        <v>0</v>
      </c>
      <c r="X220" s="298">
        <f t="shared" si="215"/>
        <v>0</v>
      </c>
      <c r="Y220" s="298">
        <f t="shared" si="215"/>
        <v>0</v>
      </c>
      <c r="Z220" s="298">
        <f t="shared" si="215"/>
        <v>0</v>
      </c>
      <c r="AA220" s="298">
        <f t="shared" si="215"/>
        <v>0</v>
      </c>
      <c r="AB220" s="298">
        <f t="shared" si="215"/>
        <v>0</v>
      </c>
      <c r="AC220" s="298">
        <f t="shared" si="215"/>
        <v>0</v>
      </c>
      <c r="AD220" s="298">
        <f t="shared" si="215"/>
        <v>0</v>
      </c>
      <c r="AE220" s="298">
        <f t="shared" si="215"/>
        <v>0</v>
      </c>
      <c r="AF220" s="298">
        <f t="shared" si="215"/>
        <v>0</v>
      </c>
      <c r="AG220" s="298">
        <f t="shared" si="215"/>
        <v>0</v>
      </c>
      <c r="AH220" s="298">
        <f t="shared" si="215"/>
        <v>0</v>
      </c>
      <c r="AI220" s="298">
        <f t="shared" si="215"/>
        <v>0</v>
      </c>
      <c r="AJ220" s="298">
        <f t="shared" si="215"/>
        <v>0</v>
      </c>
      <c r="AK220" s="298">
        <f t="shared" si="215"/>
        <v>0</v>
      </c>
      <c r="AL220" s="298">
        <f t="shared" si="215"/>
        <v>0</v>
      </c>
      <c r="AM220" s="298">
        <f t="shared" si="215"/>
        <v>0</v>
      </c>
      <c r="AN220" s="298">
        <f t="shared" si="215"/>
        <v>0</v>
      </c>
      <c r="AO220" s="298">
        <f t="shared" si="215"/>
        <v>0</v>
      </c>
      <c r="AP220" s="60"/>
      <c r="AQ220" s="60"/>
      <c r="AR220" s="60"/>
    </row>
    <row r="221" spans="8:46" ht="20.25" customHeight="1" outlineLevel="1">
      <c r="H221" s="118" t="s">
        <v>261</v>
      </c>
      <c r="I221" s="107" t="s">
        <v>29</v>
      </c>
      <c r="J221" s="232">
        <f t="shared" si="212"/>
        <v>0</v>
      </c>
      <c r="K221" s="232">
        <f t="shared" si="213"/>
        <v>0</v>
      </c>
      <c r="L221" s="299"/>
      <c r="M221" s="299"/>
      <c r="N221" s="299"/>
      <c r="O221" s="299"/>
      <c r="P221" s="299"/>
      <c r="Q221" s="299"/>
      <c r="R221" s="299"/>
      <c r="S221" s="299"/>
      <c r="T221" s="299"/>
      <c r="U221" s="299"/>
      <c r="V221" s="299"/>
      <c r="W221" s="299"/>
      <c r="X221" s="299"/>
      <c r="Y221" s="299"/>
      <c r="Z221" s="299"/>
      <c r="AA221" s="299"/>
      <c r="AB221" s="299"/>
      <c r="AC221" s="299"/>
      <c r="AD221" s="299"/>
      <c r="AE221" s="299"/>
      <c r="AF221" s="299"/>
      <c r="AG221" s="299"/>
      <c r="AH221" s="299"/>
      <c r="AI221" s="299"/>
      <c r="AJ221" s="299"/>
      <c r="AK221" s="299"/>
      <c r="AL221" s="299"/>
      <c r="AM221" s="299"/>
      <c r="AN221" s="299"/>
      <c r="AO221" s="299"/>
      <c r="AP221" s="60"/>
      <c r="AQ221" s="60"/>
      <c r="AR221" s="60"/>
    </row>
    <row r="222" spans="8:46" ht="20.25" customHeight="1" outlineLevel="1">
      <c r="H222" s="118" t="s">
        <v>262</v>
      </c>
      <c r="I222" s="107" t="s">
        <v>29</v>
      </c>
      <c r="J222" s="232">
        <f t="shared" si="212"/>
        <v>0</v>
      </c>
      <c r="K222" s="232">
        <f t="shared" si="213"/>
        <v>0</v>
      </c>
      <c r="L222" s="299"/>
      <c r="M222" s="299"/>
      <c r="N222" s="299"/>
      <c r="O222" s="299"/>
      <c r="P222" s="299"/>
      <c r="Q222" s="299"/>
      <c r="R222" s="299"/>
      <c r="S222" s="299"/>
      <c r="T222" s="299"/>
      <c r="U222" s="299"/>
      <c r="V222" s="299"/>
      <c r="W222" s="299"/>
      <c r="X222" s="299"/>
      <c r="Y222" s="299"/>
      <c r="Z222" s="299"/>
      <c r="AA222" s="299"/>
      <c r="AB222" s="299"/>
      <c r="AC222" s="299"/>
      <c r="AD222" s="299"/>
      <c r="AE222" s="299"/>
      <c r="AF222" s="299"/>
      <c r="AG222" s="299"/>
      <c r="AH222" s="299"/>
      <c r="AI222" s="299"/>
      <c r="AJ222" s="299"/>
      <c r="AK222" s="299"/>
      <c r="AL222" s="299"/>
      <c r="AM222" s="299"/>
      <c r="AN222" s="299"/>
      <c r="AO222" s="299"/>
      <c r="AP222" s="60"/>
      <c r="AQ222" s="60"/>
      <c r="AR222" s="60"/>
    </row>
    <row r="223" spans="8:46" ht="20.25" customHeight="1" outlineLevel="1">
      <c r="H223" s="118" t="s">
        <v>263</v>
      </c>
      <c r="I223" s="107" t="s">
        <v>29</v>
      </c>
      <c r="J223" s="232">
        <f t="shared" si="212"/>
        <v>0</v>
      </c>
      <c r="K223" s="232">
        <f t="shared" si="213"/>
        <v>0</v>
      </c>
      <c r="L223" s="299"/>
      <c r="M223" s="299"/>
      <c r="N223" s="299"/>
      <c r="O223" s="299"/>
      <c r="P223" s="299"/>
      <c r="Q223" s="299"/>
      <c r="R223" s="299"/>
      <c r="S223" s="299"/>
      <c r="T223" s="299"/>
      <c r="U223" s="299"/>
      <c r="V223" s="299"/>
      <c r="W223" s="299"/>
      <c r="X223" s="299"/>
      <c r="Y223" s="299"/>
      <c r="Z223" s="299"/>
      <c r="AA223" s="299"/>
      <c r="AB223" s="299"/>
      <c r="AC223" s="299"/>
      <c r="AD223" s="299"/>
      <c r="AE223" s="299"/>
      <c r="AF223" s="299"/>
      <c r="AG223" s="299"/>
      <c r="AH223" s="299"/>
      <c r="AI223" s="299"/>
      <c r="AJ223" s="299"/>
      <c r="AK223" s="299"/>
      <c r="AL223" s="299"/>
      <c r="AM223" s="299"/>
      <c r="AN223" s="299"/>
      <c r="AO223" s="299"/>
      <c r="AP223" s="60"/>
      <c r="AQ223" s="60"/>
      <c r="AR223" s="60"/>
    </row>
    <row r="224" spans="8:46" ht="20.25" customHeight="1" outlineLevel="1">
      <c r="H224" s="118" t="s">
        <v>264</v>
      </c>
      <c r="I224" s="107" t="s">
        <v>29</v>
      </c>
      <c r="J224" s="232">
        <f t="shared" si="212"/>
        <v>0</v>
      </c>
      <c r="K224" s="232">
        <f t="shared" si="213"/>
        <v>0</v>
      </c>
      <c r="L224" s="299"/>
      <c r="M224" s="299"/>
      <c r="N224" s="299"/>
      <c r="O224" s="299"/>
      <c r="P224" s="299"/>
      <c r="Q224" s="299"/>
      <c r="R224" s="299"/>
      <c r="S224" s="299"/>
      <c r="T224" s="299"/>
      <c r="U224" s="299"/>
      <c r="V224" s="299"/>
      <c r="W224" s="299"/>
      <c r="X224" s="299"/>
      <c r="Y224" s="299"/>
      <c r="Z224" s="299"/>
      <c r="AA224" s="299"/>
      <c r="AB224" s="299"/>
      <c r="AC224" s="299"/>
      <c r="AD224" s="299"/>
      <c r="AE224" s="299"/>
      <c r="AF224" s="299"/>
      <c r="AG224" s="299"/>
      <c r="AH224" s="299"/>
      <c r="AI224" s="299"/>
      <c r="AJ224" s="299"/>
      <c r="AK224" s="299"/>
      <c r="AL224" s="299"/>
      <c r="AM224" s="299"/>
      <c r="AN224" s="299"/>
      <c r="AO224" s="299"/>
      <c r="AP224" s="60"/>
      <c r="AQ224" s="60"/>
      <c r="AR224" s="60"/>
    </row>
    <row r="225" spans="8:46" ht="20.25" customHeight="1">
      <c r="H225" s="105" t="s">
        <v>276</v>
      </c>
      <c r="I225" s="107" t="s">
        <v>29</v>
      </c>
      <c r="J225" s="232">
        <f t="shared" si="212"/>
        <v>0</v>
      </c>
      <c r="K225" s="232">
        <f t="shared" si="213"/>
        <v>0</v>
      </c>
      <c r="L225" s="298">
        <f>SUM(L226:L229)</f>
        <v>0</v>
      </c>
      <c r="M225" s="298">
        <f t="shared" ref="M225:AO225" si="216">SUM(M226:M229)</f>
        <v>0</v>
      </c>
      <c r="N225" s="298">
        <f t="shared" si="216"/>
        <v>0</v>
      </c>
      <c r="O225" s="298">
        <f t="shared" si="216"/>
        <v>0</v>
      </c>
      <c r="P225" s="298">
        <f t="shared" si="216"/>
        <v>0</v>
      </c>
      <c r="Q225" s="298">
        <f t="shared" si="216"/>
        <v>0</v>
      </c>
      <c r="R225" s="298">
        <f t="shared" si="216"/>
        <v>0</v>
      </c>
      <c r="S225" s="298">
        <f t="shared" si="216"/>
        <v>0</v>
      </c>
      <c r="T225" s="298">
        <f t="shared" si="216"/>
        <v>0</v>
      </c>
      <c r="U225" s="298">
        <f t="shared" si="216"/>
        <v>0</v>
      </c>
      <c r="V225" s="298">
        <f t="shared" si="216"/>
        <v>0</v>
      </c>
      <c r="W225" s="298">
        <f t="shared" si="216"/>
        <v>0</v>
      </c>
      <c r="X225" s="298">
        <f t="shared" si="216"/>
        <v>0</v>
      </c>
      <c r="Y225" s="298">
        <f t="shared" si="216"/>
        <v>0</v>
      </c>
      <c r="Z225" s="298">
        <f t="shared" si="216"/>
        <v>0</v>
      </c>
      <c r="AA225" s="298">
        <f t="shared" si="216"/>
        <v>0</v>
      </c>
      <c r="AB225" s="298">
        <f t="shared" si="216"/>
        <v>0</v>
      </c>
      <c r="AC225" s="298">
        <f t="shared" si="216"/>
        <v>0</v>
      </c>
      <c r="AD225" s="298">
        <f t="shared" si="216"/>
        <v>0</v>
      </c>
      <c r="AE225" s="298">
        <f t="shared" si="216"/>
        <v>0</v>
      </c>
      <c r="AF225" s="298">
        <f t="shared" si="216"/>
        <v>0</v>
      </c>
      <c r="AG225" s="298">
        <f t="shared" si="216"/>
        <v>0</v>
      </c>
      <c r="AH225" s="298">
        <f t="shared" si="216"/>
        <v>0</v>
      </c>
      <c r="AI225" s="298">
        <f t="shared" si="216"/>
        <v>0</v>
      </c>
      <c r="AJ225" s="298">
        <f t="shared" si="216"/>
        <v>0</v>
      </c>
      <c r="AK225" s="298">
        <f t="shared" si="216"/>
        <v>0</v>
      </c>
      <c r="AL225" s="298">
        <f t="shared" si="216"/>
        <v>0</v>
      </c>
      <c r="AM225" s="298">
        <f t="shared" si="216"/>
        <v>0</v>
      </c>
      <c r="AN225" s="298">
        <f t="shared" si="216"/>
        <v>0</v>
      </c>
      <c r="AO225" s="298">
        <f t="shared" si="216"/>
        <v>0</v>
      </c>
      <c r="AP225" s="60"/>
      <c r="AQ225" s="60"/>
      <c r="AR225" s="60"/>
    </row>
    <row r="226" spans="8:46" ht="20.25" customHeight="1" outlineLevel="1">
      <c r="H226" s="118" t="s">
        <v>266</v>
      </c>
      <c r="I226" s="107" t="s">
        <v>29</v>
      </c>
      <c r="J226" s="232">
        <f t="shared" si="212"/>
        <v>0</v>
      </c>
      <c r="K226" s="232">
        <f t="shared" si="213"/>
        <v>0</v>
      </c>
      <c r="L226" s="233"/>
      <c r="M226" s="233"/>
      <c r="N226" s="233"/>
      <c r="O226" s="233"/>
      <c r="P226" s="233"/>
      <c r="Q226" s="233"/>
      <c r="R226" s="233"/>
      <c r="S226" s="233"/>
      <c r="T226" s="233"/>
      <c r="U226" s="233"/>
      <c r="V226" s="233"/>
      <c r="W226" s="233"/>
      <c r="X226" s="233"/>
      <c r="Y226" s="233"/>
      <c r="Z226" s="233"/>
      <c r="AA226" s="233"/>
      <c r="AB226" s="233"/>
      <c r="AC226" s="233"/>
      <c r="AD226" s="233"/>
      <c r="AE226" s="233"/>
      <c r="AF226" s="233"/>
      <c r="AG226" s="233"/>
      <c r="AH226" s="233"/>
      <c r="AI226" s="233"/>
      <c r="AJ226" s="233"/>
      <c r="AK226" s="233"/>
      <c r="AL226" s="233"/>
      <c r="AM226" s="233"/>
      <c r="AN226" s="233"/>
      <c r="AO226" s="233"/>
      <c r="AP226" s="60"/>
      <c r="AQ226" s="60"/>
      <c r="AR226" s="60"/>
    </row>
    <row r="227" spans="8:46" ht="20.25" customHeight="1" outlineLevel="1">
      <c r="H227" s="118" t="s">
        <v>267</v>
      </c>
      <c r="I227" s="107" t="s">
        <v>29</v>
      </c>
      <c r="J227" s="232">
        <f t="shared" si="212"/>
        <v>0</v>
      </c>
      <c r="K227" s="232">
        <f t="shared" si="213"/>
        <v>0</v>
      </c>
      <c r="L227" s="233"/>
      <c r="M227" s="233"/>
      <c r="N227" s="233"/>
      <c r="O227" s="233"/>
      <c r="P227" s="233"/>
      <c r="Q227" s="233"/>
      <c r="R227" s="233"/>
      <c r="S227" s="233"/>
      <c r="T227" s="233"/>
      <c r="U227" s="233"/>
      <c r="V227" s="233"/>
      <c r="W227" s="233"/>
      <c r="X227" s="233"/>
      <c r="Y227" s="233"/>
      <c r="Z227" s="233"/>
      <c r="AA227" s="233"/>
      <c r="AB227" s="233"/>
      <c r="AC227" s="233"/>
      <c r="AD227" s="233"/>
      <c r="AE227" s="233"/>
      <c r="AF227" s="233"/>
      <c r="AG227" s="233"/>
      <c r="AH227" s="233"/>
      <c r="AI227" s="233"/>
      <c r="AJ227" s="233"/>
      <c r="AK227" s="233"/>
      <c r="AL227" s="233"/>
      <c r="AM227" s="233"/>
      <c r="AN227" s="233"/>
      <c r="AO227" s="233"/>
      <c r="AP227" s="60"/>
      <c r="AQ227" s="60"/>
      <c r="AR227" s="60"/>
    </row>
    <row r="228" spans="8:46" ht="20.25" customHeight="1" outlineLevel="1">
      <c r="H228" s="118" t="s">
        <v>268</v>
      </c>
      <c r="I228" s="107" t="s">
        <v>29</v>
      </c>
      <c r="J228" s="232">
        <f t="shared" si="212"/>
        <v>0</v>
      </c>
      <c r="K228" s="232">
        <f t="shared" si="213"/>
        <v>0</v>
      </c>
      <c r="L228" s="233"/>
      <c r="M228" s="233"/>
      <c r="N228" s="233"/>
      <c r="O228" s="233"/>
      <c r="P228" s="233"/>
      <c r="Q228" s="233"/>
      <c r="R228" s="233"/>
      <c r="S228" s="233"/>
      <c r="T228" s="233"/>
      <c r="U228" s="233"/>
      <c r="V228" s="233"/>
      <c r="W228" s="233"/>
      <c r="X228" s="233"/>
      <c r="Y228" s="233"/>
      <c r="Z228" s="233"/>
      <c r="AA228" s="233"/>
      <c r="AB228" s="233"/>
      <c r="AC228" s="233"/>
      <c r="AD228" s="233"/>
      <c r="AE228" s="233"/>
      <c r="AF228" s="233"/>
      <c r="AG228" s="233"/>
      <c r="AH228" s="233"/>
      <c r="AI228" s="233"/>
      <c r="AJ228" s="233"/>
      <c r="AK228" s="233"/>
      <c r="AL228" s="233"/>
      <c r="AM228" s="233"/>
      <c r="AN228" s="233"/>
      <c r="AO228" s="233"/>
      <c r="AP228" s="60"/>
      <c r="AQ228" s="60"/>
      <c r="AR228" s="60"/>
      <c r="AS228" s="60"/>
      <c r="AT228" s="60"/>
    </row>
    <row r="229" spans="8:46" ht="20.25" customHeight="1" outlineLevel="1">
      <c r="H229" s="118" t="s">
        <v>269</v>
      </c>
      <c r="I229" s="107" t="s">
        <v>29</v>
      </c>
      <c r="J229" s="232">
        <f t="shared" si="212"/>
        <v>0</v>
      </c>
      <c r="K229" s="232">
        <f t="shared" si="213"/>
        <v>0</v>
      </c>
      <c r="L229" s="233"/>
      <c r="M229" s="233"/>
      <c r="N229" s="233"/>
      <c r="O229" s="233"/>
      <c r="P229" s="233"/>
      <c r="Q229" s="233"/>
      <c r="R229" s="233"/>
      <c r="S229" s="233"/>
      <c r="T229" s="233"/>
      <c r="U229" s="233"/>
      <c r="V229" s="233"/>
      <c r="W229" s="233"/>
      <c r="X229" s="233"/>
      <c r="Y229" s="233"/>
      <c r="Z229" s="233"/>
      <c r="AA229" s="233"/>
      <c r="AB229" s="233"/>
      <c r="AC229" s="233"/>
      <c r="AD229" s="233"/>
      <c r="AE229" s="233"/>
      <c r="AF229" s="233"/>
      <c r="AG229" s="233"/>
      <c r="AH229" s="233"/>
      <c r="AI229" s="233"/>
      <c r="AJ229" s="233"/>
      <c r="AK229" s="233"/>
      <c r="AL229" s="233"/>
      <c r="AM229" s="233"/>
      <c r="AN229" s="233"/>
      <c r="AO229" s="233"/>
      <c r="AP229" s="60"/>
      <c r="AQ229" s="60"/>
      <c r="AR229" s="60"/>
      <c r="AS229" s="60"/>
      <c r="AT229" s="60"/>
    </row>
    <row r="230" spans="8:46" ht="20.25" customHeight="1">
      <c r="H230" s="120" t="s">
        <v>71</v>
      </c>
      <c r="I230" s="121" t="s">
        <v>29</v>
      </c>
      <c r="J230" s="225">
        <f t="shared" ref="J230:K230" si="217">SUM(J217:J219)</f>
        <v>0</v>
      </c>
      <c r="K230" s="225">
        <f t="shared" si="217"/>
        <v>0</v>
      </c>
      <c r="L230" s="225">
        <f>SUM(L217:L219)</f>
        <v>0</v>
      </c>
      <c r="M230" s="225">
        <f t="shared" ref="M230:AO230" si="218">SUM(M217:M219)</f>
        <v>0</v>
      </c>
      <c r="N230" s="225">
        <f t="shared" si="218"/>
        <v>0</v>
      </c>
      <c r="O230" s="225">
        <f t="shared" si="218"/>
        <v>0</v>
      </c>
      <c r="P230" s="225">
        <f t="shared" si="218"/>
        <v>0</v>
      </c>
      <c r="Q230" s="225">
        <f t="shared" si="218"/>
        <v>0</v>
      </c>
      <c r="R230" s="225">
        <f t="shared" si="218"/>
        <v>0</v>
      </c>
      <c r="S230" s="225">
        <f t="shared" si="218"/>
        <v>0</v>
      </c>
      <c r="T230" s="225">
        <f t="shared" si="218"/>
        <v>0</v>
      </c>
      <c r="U230" s="225">
        <f t="shared" si="218"/>
        <v>0</v>
      </c>
      <c r="V230" s="225">
        <f t="shared" si="218"/>
        <v>0</v>
      </c>
      <c r="W230" s="225">
        <f t="shared" si="218"/>
        <v>0</v>
      </c>
      <c r="X230" s="225">
        <f t="shared" si="218"/>
        <v>0</v>
      </c>
      <c r="Y230" s="225">
        <f t="shared" si="218"/>
        <v>0</v>
      </c>
      <c r="Z230" s="225">
        <f t="shared" si="218"/>
        <v>0</v>
      </c>
      <c r="AA230" s="225">
        <f t="shared" si="218"/>
        <v>0</v>
      </c>
      <c r="AB230" s="225">
        <f t="shared" si="218"/>
        <v>0</v>
      </c>
      <c r="AC230" s="225">
        <f t="shared" si="218"/>
        <v>0</v>
      </c>
      <c r="AD230" s="225">
        <f t="shared" si="218"/>
        <v>0</v>
      </c>
      <c r="AE230" s="225">
        <f t="shared" si="218"/>
        <v>0</v>
      </c>
      <c r="AF230" s="225">
        <f t="shared" si="218"/>
        <v>0</v>
      </c>
      <c r="AG230" s="225">
        <f t="shared" si="218"/>
        <v>0</v>
      </c>
      <c r="AH230" s="225">
        <f t="shared" si="218"/>
        <v>0</v>
      </c>
      <c r="AI230" s="225">
        <f t="shared" si="218"/>
        <v>0</v>
      </c>
      <c r="AJ230" s="225">
        <f t="shared" si="218"/>
        <v>0</v>
      </c>
      <c r="AK230" s="225">
        <f t="shared" si="218"/>
        <v>0</v>
      </c>
      <c r="AL230" s="225">
        <f t="shared" si="218"/>
        <v>0</v>
      </c>
      <c r="AM230" s="225">
        <f t="shared" si="218"/>
        <v>0</v>
      </c>
      <c r="AN230" s="225">
        <f t="shared" si="218"/>
        <v>0</v>
      </c>
      <c r="AO230" s="225">
        <f t="shared" si="218"/>
        <v>0</v>
      </c>
      <c r="AP230" s="60"/>
      <c r="AQ230" s="60"/>
      <c r="AR230" s="60"/>
      <c r="AS230" s="60"/>
      <c r="AT230" s="60"/>
    </row>
    <row r="231" spans="8:46" ht="20.25" customHeight="1">
      <c r="H231" s="60"/>
      <c r="I231" s="60"/>
      <c r="J231" s="230"/>
      <c r="K231" s="230"/>
      <c r="L231" s="230"/>
      <c r="M231" s="230"/>
      <c r="N231" s="230"/>
      <c r="O231" s="230"/>
      <c r="P231" s="230"/>
      <c r="Q231" s="230"/>
      <c r="R231" s="230"/>
      <c r="S231" s="230"/>
      <c r="T231" s="230"/>
      <c r="U231" s="230"/>
      <c r="V231" s="230"/>
      <c r="W231" s="230"/>
      <c r="X231" s="230"/>
      <c r="Y231" s="230"/>
      <c r="Z231" s="230"/>
      <c r="AA231" s="230"/>
      <c r="AB231" s="230"/>
      <c r="AC231" s="230"/>
      <c r="AD231" s="230"/>
      <c r="AE231" s="230"/>
      <c r="AF231" s="230"/>
      <c r="AG231" s="230"/>
      <c r="AH231" s="230"/>
      <c r="AI231" s="230"/>
      <c r="AJ231" s="230"/>
      <c r="AK231" s="230"/>
      <c r="AL231" s="230"/>
      <c r="AM231" s="230"/>
      <c r="AN231" s="230"/>
      <c r="AO231" s="230"/>
      <c r="AP231" s="60"/>
      <c r="AQ231" s="60"/>
      <c r="AR231" s="60"/>
      <c r="AS231" s="60"/>
      <c r="AT231" s="60"/>
    </row>
    <row r="232" spans="8:46" ht="20.25" customHeight="1">
      <c r="H232" s="120" t="s">
        <v>83</v>
      </c>
      <c r="I232" s="121" t="s">
        <v>29</v>
      </c>
      <c r="J232" s="225">
        <f>J214+J230</f>
        <v>0</v>
      </c>
      <c r="K232" s="225">
        <f t="shared" ref="K232:AO232" si="219">K214+K230</f>
        <v>0</v>
      </c>
      <c r="L232" s="225">
        <f>L214+L230</f>
        <v>0</v>
      </c>
      <c r="M232" s="225">
        <f t="shared" si="219"/>
        <v>0</v>
      </c>
      <c r="N232" s="225">
        <f t="shared" si="219"/>
        <v>0</v>
      </c>
      <c r="O232" s="225">
        <f t="shared" si="219"/>
        <v>0</v>
      </c>
      <c r="P232" s="225">
        <f t="shared" si="219"/>
        <v>0</v>
      </c>
      <c r="Q232" s="225">
        <f t="shared" si="219"/>
        <v>0</v>
      </c>
      <c r="R232" s="225">
        <f t="shared" si="219"/>
        <v>0</v>
      </c>
      <c r="S232" s="225">
        <f t="shared" si="219"/>
        <v>0</v>
      </c>
      <c r="T232" s="225">
        <f t="shared" si="219"/>
        <v>0</v>
      </c>
      <c r="U232" s="225">
        <f t="shared" si="219"/>
        <v>0</v>
      </c>
      <c r="V232" s="225">
        <f t="shared" si="219"/>
        <v>0</v>
      </c>
      <c r="W232" s="225">
        <f t="shared" si="219"/>
        <v>0</v>
      </c>
      <c r="X232" s="225">
        <f t="shared" si="219"/>
        <v>0</v>
      </c>
      <c r="Y232" s="225">
        <f t="shared" si="219"/>
        <v>0</v>
      </c>
      <c r="Z232" s="225">
        <f t="shared" si="219"/>
        <v>0</v>
      </c>
      <c r="AA232" s="225">
        <f t="shared" si="219"/>
        <v>0</v>
      </c>
      <c r="AB232" s="225">
        <f t="shared" si="219"/>
        <v>0</v>
      </c>
      <c r="AC232" s="225">
        <f t="shared" si="219"/>
        <v>0</v>
      </c>
      <c r="AD232" s="225">
        <f t="shared" si="219"/>
        <v>0</v>
      </c>
      <c r="AE232" s="225">
        <f t="shared" si="219"/>
        <v>0</v>
      </c>
      <c r="AF232" s="225">
        <f t="shared" si="219"/>
        <v>0</v>
      </c>
      <c r="AG232" s="225">
        <f t="shared" si="219"/>
        <v>0</v>
      </c>
      <c r="AH232" s="225">
        <f t="shared" si="219"/>
        <v>0</v>
      </c>
      <c r="AI232" s="225">
        <f t="shared" si="219"/>
        <v>0</v>
      </c>
      <c r="AJ232" s="225">
        <f t="shared" si="219"/>
        <v>0</v>
      </c>
      <c r="AK232" s="225">
        <f t="shared" si="219"/>
        <v>0</v>
      </c>
      <c r="AL232" s="225">
        <f t="shared" si="219"/>
        <v>0</v>
      </c>
      <c r="AM232" s="225">
        <f t="shared" si="219"/>
        <v>0</v>
      </c>
      <c r="AN232" s="225">
        <f t="shared" si="219"/>
        <v>0</v>
      </c>
      <c r="AO232" s="225">
        <f t="shared" si="219"/>
        <v>0</v>
      </c>
      <c r="AP232" s="60"/>
      <c r="AQ232" s="60"/>
      <c r="AR232" s="60"/>
      <c r="AS232" s="60"/>
      <c r="AT232" s="60"/>
    </row>
    <row r="233" spans="8:46" ht="20.25" customHeight="1">
      <c r="H233" s="60"/>
      <c r="I233" s="60"/>
      <c r="J233" s="230"/>
      <c r="K233" s="230"/>
      <c r="L233" s="230"/>
      <c r="M233" s="230"/>
      <c r="N233" s="230"/>
      <c r="O233" s="230"/>
      <c r="P233" s="230"/>
      <c r="Q233" s="230"/>
      <c r="R233" s="230"/>
      <c r="S233" s="230"/>
      <c r="T233" s="230"/>
      <c r="U233" s="230"/>
      <c r="V233" s="230"/>
      <c r="W233" s="230"/>
      <c r="X233" s="230"/>
      <c r="Y233" s="230"/>
      <c r="Z233" s="230"/>
      <c r="AA233" s="230"/>
      <c r="AB233" s="230"/>
      <c r="AC233" s="230"/>
      <c r="AD233" s="230"/>
      <c r="AE233" s="230"/>
      <c r="AF233" s="230"/>
      <c r="AG233" s="230"/>
      <c r="AH233" s="230"/>
      <c r="AI233" s="230"/>
      <c r="AJ233" s="230"/>
      <c r="AK233" s="230"/>
      <c r="AL233" s="230"/>
      <c r="AM233" s="230"/>
      <c r="AN233" s="230"/>
      <c r="AO233" s="230"/>
      <c r="AP233" s="60"/>
      <c r="AQ233" s="60"/>
      <c r="AR233" s="60"/>
      <c r="AS233" s="60"/>
      <c r="AT233" s="60"/>
    </row>
    <row r="234" spans="8:46" ht="20.25" customHeight="1">
      <c r="H234" s="112" t="s">
        <v>84</v>
      </c>
      <c r="I234" s="60"/>
      <c r="J234" s="230"/>
      <c r="K234" s="230"/>
      <c r="L234" s="230"/>
      <c r="M234" s="230"/>
      <c r="N234" s="230"/>
      <c r="O234" s="230"/>
      <c r="P234" s="230"/>
      <c r="Q234" s="230"/>
      <c r="R234" s="230"/>
      <c r="S234" s="230"/>
      <c r="T234" s="230"/>
      <c r="U234" s="230"/>
      <c r="V234" s="230"/>
      <c r="W234" s="230"/>
      <c r="X234" s="230"/>
      <c r="Y234" s="230"/>
      <c r="Z234" s="230"/>
      <c r="AA234" s="230"/>
      <c r="AB234" s="230"/>
      <c r="AC234" s="230"/>
      <c r="AD234" s="230"/>
      <c r="AE234" s="230"/>
      <c r="AF234" s="230"/>
      <c r="AG234" s="230"/>
      <c r="AH234" s="230"/>
      <c r="AI234" s="230"/>
      <c r="AJ234" s="230"/>
      <c r="AK234" s="230"/>
      <c r="AL234" s="230"/>
      <c r="AM234" s="230"/>
      <c r="AN234" s="230"/>
      <c r="AO234" s="230"/>
      <c r="AP234" s="60"/>
      <c r="AQ234" s="60"/>
      <c r="AR234" s="60"/>
      <c r="AS234" s="60"/>
      <c r="AT234" s="60"/>
    </row>
    <row r="235" spans="8:46" ht="20.25" customHeight="1">
      <c r="H235" s="105" t="s">
        <v>85</v>
      </c>
      <c r="I235" s="107" t="s">
        <v>29</v>
      </c>
      <c r="J235" s="232">
        <f>L235</f>
        <v>450</v>
      </c>
      <c r="K235" s="232">
        <f>L235</f>
        <v>450</v>
      </c>
      <c r="L235" s="233">
        <v>450</v>
      </c>
      <c r="M235" s="231">
        <f>L237</f>
        <v>450</v>
      </c>
      <c r="N235" s="231">
        <f t="shared" ref="N235:AO235" si="220">M237</f>
        <v>450</v>
      </c>
      <c r="O235" s="231">
        <f t="shared" si="220"/>
        <v>450</v>
      </c>
      <c r="P235" s="231">
        <f t="shared" si="220"/>
        <v>450</v>
      </c>
      <c r="Q235" s="231">
        <f t="shared" si="220"/>
        <v>450</v>
      </c>
      <c r="R235" s="231">
        <f t="shared" si="220"/>
        <v>450</v>
      </c>
      <c r="S235" s="231">
        <f t="shared" si="220"/>
        <v>450</v>
      </c>
      <c r="T235" s="231">
        <f t="shared" si="220"/>
        <v>450</v>
      </c>
      <c r="U235" s="231">
        <f t="shared" si="220"/>
        <v>450</v>
      </c>
      <c r="V235" s="231">
        <f t="shared" si="220"/>
        <v>450</v>
      </c>
      <c r="W235" s="231">
        <f t="shared" si="220"/>
        <v>450</v>
      </c>
      <c r="X235" s="231">
        <f t="shared" si="220"/>
        <v>450</v>
      </c>
      <c r="Y235" s="231">
        <f t="shared" si="220"/>
        <v>450</v>
      </c>
      <c r="Z235" s="231">
        <f t="shared" si="220"/>
        <v>450</v>
      </c>
      <c r="AA235" s="231">
        <f t="shared" si="220"/>
        <v>450</v>
      </c>
      <c r="AB235" s="231">
        <f t="shared" si="220"/>
        <v>450</v>
      </c>
      <c r="AC235" s="231">
        <f t="shared" si="220"/>
        <v>450</v>
      </c>
      <c r="AD235" s="231">
        <f t="shared" si="220"/>
        <v>450</v>
      </c>
      <c r="AE235" s="231">
        <f t="shared" si="220"/>
        <v>450</v>
      </c>
      <c r="AF235" s="231">
        <f t="shared" si="220"/>
        <v>450</v>
      </c>
      <c r="AG235" s="231">
        <f t="shared" si="220"/>
        <v>450</v>
      </c>
      <c r="AH235" s="231">
        <f t="shared" si="220"/>
        <v>450</v>
      </c>
      <c r="AI235" s="231">
        <f t="shared" si="220"/>
        <v>450</v>
      </c>
      <c r="AJ235" s="231">
        <f t="shared" si="220"/>
        <v>450</v>
      </c>
      <c r="AK235" s="231">
        <f t="shared" si="220"/>
        <v>450</v>
      </c>
      <c r="AL235" s="231">
        <f t="shared" si="220"/>
        <v>450</v>
      </c>
      <c r="AM235" s="231">
        <f t="shared" si="220"/>
        <v>450</v>
      </c>
      <c r="AN235" s="231">
        <f t="shared" si="220"/>
        <v>450</v>
      </c>
      <c r="AO235" s="231">
        <f t="shared" si="220"/>
        <v>450</v>
      </c>
      <c r="AP235" s="60"/>
      <c r="AQ235" s="60"/>
      <c r="AR235" s="60"/>
      <c r="AS235" s="60"/>
      <c r="AT235" s="60"/>
    </row>
    <row r="236" spans="8:46" ht="20.25" customHeight="1">
      <c r="H236" s="105" t="s">
        <v>86</v>
      </c>
      <c r="I236" s="107" t="s">
        <v>29</v>
      </c>
      <c r="J236" s="232">
        <f t="shared" ref="J236" si="221">SUMIF($L$19:$AO$19,1,L236:AO236)</f>
        <v>0</v>
      </c>
      <c r="K236" s="232">
        <f t="shared" ref="K236" si="222">SUMIF($L$18:$AO$18,1,L236:AO236)</f>
        <v>0</v>
      </c>
      <c r="L236" s="231">
        <f>L232+L195+L176</f>
        <v>0</v>
      </c>
      <c r="M236" s="231">
        <f>M232+M195+M176</f>
        <v>0</v>
      </c>
      <c r="N236" s="231">
        <f t="shared" ref="N236:AO236" si="223">N232+N195+N176</f>
        <v>0</v>
      </c>
      <c r="O236" s="231">
        <f t="shared" si="223"/>
        <v>0</v>
      </c>
      <c r="P236" s="231">
        <f t="shared" si="223"/>
        <v>0</v>
      </c>
      <c r="Q236" s="231">
        <f t="shared" si="223"/>
        <v>0</v>
      </c>
      <c r="R236" s="231">
        <f t="shared" si="223"/>
        <v>0</v>
      </c>
      <c r="S236" s="231">
        <f t="shared" si="223"/>
        <v>0</v>
      </c>
      <c r="T236" s="231">
        <f t="shared" si="223"/>
        <v>0</v>
      </c>
      <c r="U236" s="231">
        <f t="shared" si="223"/>
        <v>0</v>
      </c>
      <c r="V236" s="231">
        <f t="shared" si="223"/>
        <v>0</v>
      </c>
      <c r="W236" s="231">
        <f t="shared" si="223"/>
        <v>0</v>
      </c>
      <c r="X236" s="231">
        <f t="shared" si="223"/>
        <v>0</v>
      </c>
      <c r="Y236" s="231">
        <f t="shared" si="223"/>
        <v>0</v>
      </c>
      <c r="Z236" s="231">
        <f t="shared" si="223"/>
        <v>0</v>
      </c>
      <c r="AA236" s="231">
        <f t="shared" si="223"/>
        <v>0</v>
      </c>
      <c r="AB236" s="231">
        <f t="shared" si="223"/>
        <v>0</v>
      </c>
      <c r="AC236" s="231">
        <f t="shared" si="223"/>
        <v>0</v>
      </c>
      <c r="AD236" s="231">
        <f t="shared" si="223"/>
        <v>0</v>
      </c>
      <c r="AE236" s="231">
        <f t="shared" si="223"/>
        <v>0</v>
      </c>
      <c r="AF236" s="231">
        <f t="shared" si="223"/>
        <v>0</v>
      </c>
      <c r="AG236" s="231">
        <f t="shared" si="223"/>
        <v>0</v>
      </c>
      <c r="AH236" s="231">
        <f t="shared" si="223"/>
        <v>0</v>
      </c>
      <c r="AI236" s="231">
        <f t="shared" si="223"/>
        <v>0</v>
      </c>
      <c r="AJ236" s="231">
        <f t="shared" si="223"/>
        <v>0</v>
      </c>
      <c r="AK236" s="231">
        <f t="shared" si="223"/>
        <v>0</v>
      </c>
      <c r="AL236" s="231">
        <f t="shared" si="223"/>
        <v>0</v>
      </c>
      <c r="AM236" s="231">
        <f t="shared" si="223"/>
        <v>0</v>
      </c>
      <c r="AN236" s="231">
        <f t="shared" si="223"/>
        <v>0</v>
      </c>
      <c r="AO236" s="231">
        <f t="shared" si="223"/>
        <v>0</v>
      </c>
      <c r="AP236" s="60"/>
      <c r="AQ236" s="60"/>
      <c r="AR236" s="60"/>
      <c r="AS236" s="60"/>
      <c r="AT236" s="60"/>
    </row>
    <row r="237" spans="8:46" ht="20.25" customHeight="1">
      <c r="H237" s="120" t="s">
        <v>87</v>
      </c>
      <c r="I237" s="121" t="s">
        <v>29</v>
      </c>
      <c r="J237" s="225">
        <f>J235+J236</f>
        <v>450</v>
      </c>
      <c r="K237" s="225">
        <f>K235+K236</f>
        <v>450</v>
      </c>
      <c r="L237" s="225">
        <f>L235+L236</f>
        <v>450</v>
      </c>
      <c r="M237" s="225">
        <f t="shared" ref="M237:AO237" si="224">M235+M236</f>
        <v>450</v>
      </c>
      <c r="N237" s="225">
        <f t="shared" si="224"/>
        <v>450</v>
      </c>
      <c r="O237" s="225">
        <f t="shared" si="224"/>
        <v>450</v>
      </c>
      <c r="P237" s="225">
        <f t="shared" si="224"/>
        <v>450</v>
      </c>
      <c r="Q237" s="225">
        <f t="shared" si="224"/>
        <v>450</v>
      </c>
      <c r="R237" s="225">
        <f t="shared" si="224"/>
        <v>450</v>
      </c>
      <c r="S237" s="225">
        <f t="shared" si="224"/>
        <v>450</v>
      </c>
      <c r="T237" s="225">
        <f t="shared" si="224"/>
        <v>450</v>
      </c>
      <c r="U237" s="225">
        <f t="shared" si="224"/>
        <v>450</v>
      </c>
      <c r="V237" s="225">
        <f t="shared" si="224"/>
        <v>450</v>
      </c>
      <c r="W237" s="225">
        <f t="shared" si="224"/>
        <v>450</v>
      </c>
      <c r="X237" s="225">
        <f t="shared" si="224"/>
        <v>450</v>
      </c>
      <c r="Y237" s="225">
        <f t="shared" si="224"/>
        <v>450</v>
      </c>
      <c r="Z237" s="225">
        <f t="shared" si="224"/>
        <v>450</v>
      </c>
      <c r="AA237" s="225">
        <f t="shared" si="224"/>
        <v>450</v>
      </c>
      <c r="AB237" s="225">
        <f t="shared" si="224"/>
        <v>450</v>
      </c>
      <c r="AC237" s="225">
        <f t="shared" si="224"/>
        <v>450</v>
      </c>
      <c r="AD237" s="225">
        <f t="shared" si="224"/>
        <v>450</v>
      </c>
      <c r="AE237" s="225">
        <f t="shared" si="224"/>
        <v>450</v>
      </c>
      <c r="AF237" s="225">
        <f t="shared" si="224"/>
        <v>450</v>
      </c>
      <c r="AG237" s="225">
        <f t="shared" si="224"/>
        <v>450</v>
      </c>
      <c r="AH237" s="225">
        <f t="shared" si="224"/>
        <v>450</v>
      </c>
      <c r="AI237" s="225">
        <f t="shared" si="224"/>
        <v>450</v>
      </c>
      <c r="AJ237" s="225">
        <f t="shared" si="224"/>
        <v>450</v>
      </c>
      <c r="AK237" s="225">
        <f t="shared" si="224"/>
        <v>450</v>
      </c>
      <c r="AL237" s="225">
        <f t="shared" si="224"/>
        <v>450</v>
      </c>
      <c r="AM237" s="225">
        <f t="shared" si="224"/>
        <v>450</v>
      </c>
      <c r="AN237" s="225">
        <f t="shared" si="224"/>
        <v>450</v>
      </c>
      <c r="AO237" s="225">
        <f t="shared" si="224"/>
        <v>450</v>
      </c>
      <c r="AP237" s="60"/>
      <c r="AQ237" s="60"/>
      <c r="AR237" s="60"/>
      <c r="AS237" s="60"/>
      <c r="AT237" s="60"/>
    </row>
    <row r="238" spans="8:46" ht="20.25" customHeight="1"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  <c r="AL238" s="60"/>
      <c r="AM238" s="60"/>
      <c r="AN238" s="60"/>
      <c r="AO238" s="60"/>
      <c r="AP238" s="60"/>
      <c r="AQ238" s="60"/>
      <c r="AR238" s="60"/>
      <c r="AS238" s="60"/>
      <c r="AT238" s="60"/>
    </row>
    <row r="239" spans="8:46" ht="20.25" customHeight="1">
      <c r="H239" s="362" t="s">
        <v>88</v>
      </c>
      <c r="I239" s="363"/>
      <c r="J239" s="177" t="str">
        <f ca="1">IFERROR(IF(ROUND(MIN(OFFSET(K237,,,,MAX(SUM($L$18:$AO$18),1))),2)&lt;0,"Q","R"),"Q")</f>
        <v>R</v>
      </c>
      <c r="K239" s="128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  <c r="AI239" s="60"/>
      <c r="AJ239" s="60"/>
      <c r="AK239" s="60"/>
      <c r="AL239" s="60"/>
      <c r="AM239" s="60"/>
      <c r="AN239" s="60"/>
      <c r="AO239" s="60"/>
      <c r="AP239" s="60"/>
      <c r="AQ239" s="60"/>
      <c r="AR239" s="60"/>
      <c r="AS239" s="60"/>
      <c r="AT239" s="60"/>
    </row>
    <row r="240" spans="8:46" ht="20.25" customHeight="1">
      <c r="H240" s="362" t="s">
        <v>89</v>
      </c>
      <c r="I240" s="363"/>
      <c r="J240" s="177" t="str">
        <f ca="1">IFERROR(IF(ROUND(MIN(OFFSET(J237,,,,MAX(SUM($L$19:$AO$19),1))),2)&lt;0,"Q","R"),"Q")</f>
        <v>R</v>
      </c>
      <c r="K240" s="128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  <c r="AI240" s="60"/>
      <c r="AJ240" s="60"/>
      <c r="AK240" s="60"/>
      <c r="AL240" s="60"/>
      <c r="AM240" s="60"/>
      <c r="AN240" s="60"/>
      <c r="AO240" s="60"/>
      <c r="AP240" s="60"/>
      <c r="AQ240" s="60"/>
      <c r="AR240" s="60"/>
      <c r="AS240" s="60"/>
      <c r="AT240" s="60"/>
    </row>
    <row r="241" spans="8:46" ht="20.25" customHeight="1"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E241" s="60"/>
      <c r="AF241" s="60"/>
      <c r="AG241" s="60"/>
      <c r="AH241" s="60"/>
      <c r="AI241" s="60"/>
      <c r="AJ241" s="60"/>
      <c r="AK241" s="60"/>
      <c r="AL241" s="60"/>
      <c r="AM241" s="60"/>
      <c r="AN241" s="60"/>
      <c r="AO241" s="60"/>
      <c r="AP241" s="60"/>
      <c r="AQ241" s="60"/>
      <c r="AR241" s="60"/>
      <c r="AS241" s="60"/>
      <c r="AT241" s="60"/>
    </row>
    <row r="242" spans="8:46" ht="33" customHeight="1">
      <c r="H242" s="110" t="s">
        <v>277</v>
      </c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60"/>
      <c r="AF242" s="60"/>
      <c r="AG242" s="60"/>
      <c r="AH242" s="60"/>
      <c r="AI242" s="60"/>
      <c r="AJ242" s="60"/>
      <c r="AK242" s="60"/>
      <c r="AL242" s="60"/>
      <c r="AM242" s="60"/>
      <c r="AN242" s="60"/>
      <c r="AO242" s="60"/>
      <c r="AP242" s="60"/>
      <c r="AQ242" s="60"/>
      <c r="AR242" s="60"/>
      <c r="AS242" s="60"/>
      <c r="AT242" s="60"/>
    </row>
    <row r="243" spans="8:46" ht="20.25" customHeight="1">
      <c r="H243" s="61" t="s">
        <v>74</v>
      </c>
      <c r="I243" s="60"/>
      <c r="J243" s="61"/>
      <c r="K243" s="61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  <c r="AH243" s="59"/>
      <c r="AI243" s="59"/>
      <c r="AJ243" s="59"/>
      <c r="AK243" s="59"/>
      <c r="AL243" s="59"/>
      <c r="AM243" s="59"/>
      <c r="AN243" s="59"/>
      <c r="AO243" s="59"/>
      <c r="AP243" s="59"/>
      <c r="AQ243" s="59"/>
      <c r="AR243" s="59"/>
      <c r="AS243" s="59"/>
      <c r="AT243" s="59"/>
    </row>
    <row r="244" spans="8:46" ht="21">
      <c r="H244" s="123" t="s">
        <v>75</v>
      </c>
      <c r="I244" s="124"/>
      <c r="J244" s="125"/>
      <c r="K244" s="125"/>
      <c r="L244" s="126"/>
      <c r="M244" s="126"/>
      <c r="N244" s="126"/>
      <c r="O244" s="126"/>
      <c r="P244" s="126"/>
      <c r="Q244" s="126"/>
      <c r="R244" s="126"/>
      <c r="S244" s="126"/>
      <c r="T244" s="126"/>
      <c r="U244" s="126"/>
      <c r="V244" s="126"/>
      <c r="W244" s="126"/>
      <c r="X244" s="126"/>
      <c r="Y244" s="126"/>
      <c r="Z244" s="126"/>
      <c r="AA244" s="126"/>
      <c r="AB244" s="126"/>
      <c r="AC244" s="126"/>
      <c r="AD244" s="126"/>
      <c r="AE244" s="126"/>
      <c r="AF244" s="126"/>
      <c r="AG244" s="126"/>
      <c r="AH244" s="126"/>
      <c r="AI244" s="126"/>
      <c r="AJ244" s="126"/>
      <c r="AK244" s="126"/>
      <c r="AL244" s="126"/>
      <c r="AM244" s="126"/>
      <c r="AN244" s="126"/>
      <c r="AO244" s="126"/>
      <c r="AP244" s="59"/>
      <c r="AQ244" s="59"/>
      <c r="AR244" s="59"/>
      <c r="AS244" s="59"/>
      <c r="AT244" s="59"/>
    </row>
    <row r="245" spans="8:46" ht="20.25" customHeight="1">
      <c r="H245" s="113" t="s">
        <v>76</v>
      </c>
      <c r="I245" s="114"/>
      <c r="J245" s="114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9"/>
      <c r="AC245" s="59"/>
      <c r="AD245" s="59"/>
      <c r="AE245" s="59"/>
      <c r="AF245" s="59"/>
      <c r="AG245" s="59"/>
      <c r="AH245" s="59"/>
      <c r="AI245" s="59"/>
      <c r="AJ245" s="59"/>
      <c r="AK245" s="59"/>
      <c r="AL245" s="59"/>
      <c r="AM245" s="59"/>
      <c r="AN245" s="59"/>
      <c r="AO245" s="59"/>
      <c r="AP245" s="59"/>
      <c r="AQ245" s="59"/>
      <c r="AR245" s="59"/>
      <c r="AS245" s="60"/>
      <c r="AT245" s="60"/>
    </row>
    <row r="246" spans="8:46" ht="20.25" customHeight="1">
      <c r="H246" s="109" t="s">
        <v>246</v>
      </c>
      <c r="I246" s="107" t="s">
        <v>29</v>
      </c>
      <c r="J246" s="232">
        <f t="shared" ref="J246" si="225">SUMIF($L$19:$AO$19,1,L246:AO246)</f>
        <v>0</v>
      </c>
      <c r="K246" s="232">
        <f t="shared" ref="K246" si="226">SUMIF($L$18:$AO$18,1,L246:AO246)</f>
        <v>0</v>
      </c>
      <c r="L246" s="231">
        <f t="shared" ref="L246:AO246" si="227">L35+L162</f>
        <v>0</v>
      </c>
      <c r="M246" s="231">
        <f t="shared" si="227"/>
        <v>0</v>
      </c>
      <c r="N246" s="231">
        <f t="shared" si="227"/>
        <v>0</v>
      </c>
      <c r="O246" s="231">
        <f t="shared" si="227"/>
        <v>0</v>
      </c>
      <c r="P246" s="231">
        <f t="shared" si="227"/>
        <v>0</v>
      </c>
      <c r="Q246" s="231">
        <f t="shared" si="227"/>
        <v>0</v>
      </c>
      <c r="R246" s="231">
        <f t="shared" si="227"/>
        <v>0</v>
      </c>
      <c r="S246" s="231">
        <f t="shared" si="227"/>
        <v>0</v>
      </c>
      <c r="T246" s="231">
        <f t="shared" si="227"/>
        <v>0</v>
      </c>
      <c r="U246" s="231">
        <f t="shared" si="227"/>
        <v>0</v>
      </c>
      <c r="V246" s="231">
        <f t="shared" si="227"/>
        <v>0</v>
      </c>
      <c r="W246" s="231">
        <f t="shared" si="227"/>
        <v>0</v>
      </c>
      <c r="X246" s="231">
        <f t="shared" si="227"/>
        <v>0</v>
      </c>
      <c r="Y246" s="231">
        <f t="shared" si="227"/>
        <v>0</v>
      </c>
      <c r="Z246" s="231">
        <f t="shared" si="227"/>
        <v>0</v>
      </c>
      <c r="AA246" s="231">
        <f t="shared" si="227"/>
        <v>0</v>
      </c>
      <c r="AB246" s="231">
        <f t="shared" si="227"/>
        <v>0</v>
      </c>
      <c r="AC246" s="231">
        <f t="shared" si="227"/>
        <v>0</v>
      </c>
      <c r="AD246" s="231">
        <f t="shared" si="227"/>
        <v>0</v>
      </c>
      <c r="AE246" s="231">
        <f t="shared" si="227"/>
        <v>0</v>
      </c>
      <c r="AF246" s="231">
        <f t="shared" si="227"/>
        <v>0</v>
      </c>
      <c r="AG246" s="231">
        <f t="shared" si="227"/>
        <v>0</v>
      </c>
      <c r="AH246" s="231">
        <f t="shared" si="227"/>
        <v>0</v>
      </c>
      <c r="AI246" s="231">
        <f t="shared" si="227"/>
        <v>0</v>
      </c>
      <c r="AJ246" s="231">
        <f t="shared" si="227"/>
        <v>0</v>
      </c>
      <c r="AK246" s="231">
        <f t="shared" si="227"/>
        <v>0</v>
      </c>
      <c r="AL246" s="231">
        <f t="shared" si="227"/>
        <v>0</v>
      </c>
      <c r="AM246" s="231">
        <f t="shared" si="227"/>
        <v>0</v>
      </c>
      <c r="AN246" s="231">
        <f t="shared" si="227"/>
        <v>0</v>
      </c>
      <c r="AO246" s="231">
        <f t="shared" si="227"/>
        <v>0</v>
      </c>
      <c r="AP246" s="60"/>
      <c r="AQ246" s="60"/>
      <c r="AR246" s="60"/>
      <c r="AS246" s="60"/>
      <c r="AT246" s="60"/>
    </row>
    <row r="247" spans="8:46" ht="20.25" customHeight="1">
      <c r="H247" s="105" t="s">
        <v>247</v>
      </c>
      <c r="I247" s="107" t="s">
        <v>29</v>
      </c>
      <c r="J247" s="232">
        <f t="shared" ref="J247:J249" si="228">SUMIF($L$19:$AO$19,1,L247:AO247)</f>
        <v>0</v>
      </c>
      <c r="K247" s="232">
        <f t="shared" ref="K247:K249" si="229">SUMIF($L$18:$AO$18,1,L247:AO247)</f>
        <v>0</v>
      </c>
      <c r="L247" s="231">
        <f t="shared" ref="L247:AO247" si="230">L163</f>
        <v>0</v>
      </c>
      <c r="M247" s="231">
        <f t="shared" si="230"/>
        <v>0</v>
      </c>
      <c r="N247" s="231">
        <f t="shared" si="230"/>
        <v>0</v>
      </c>
      <c r="O247" s="231">
        <f t="shared" si="230"/>
        <v>0</v>
      </c>
      <c r="P247" s="231">
        <f t="shared" si="230"/>
        <v>0</v>
      </c>
      <c r="Q247" s="231">
        <f t="shared" si="230"/>
        <v>0</v>
      </c>
      <c r="R247" s="231">
        <f t="shared" si="230"/>
        <v>0</v>
      </c>
      <c r="S247" s="231">
        <f t="shared" si="230"/>
        <v>0</v>
      </c>
      <c r="T247" s="231">
        <f t="shared" si="230"/>
        <v>0</v>
      </c>
      <c r="U247" s="231">
        <f t="shared" si="230"/>
        <v>0</v>
      </c>
      <c r="V247" s="231">
        <f t="shared" si="230"/>
        <v>0</v>
      </c>
      <c r="W247" s="231">
        <f t="shared" si="230"/>
        <v>0</v>
      </c>
      <c r="X247" s="231">
        <f t="shared" si="230"/>
        <v>0</v>
      </c>
      <c r="Y247" s="231">
        <f t="shared" si="230"/>
        <v>0</v>
      </c>
      <c r="Z247" s="231">
        <f t="shared" si="230"/>
        <v>0</v>
      </c>
      <c r="AA247" s="231">
        <f t="shared" si="230"/>
        <v>0</v>
      </c>
      <c r="AB247" s="231">
        <f t="shared" si="230"/>
        <v>0</v>
      </c>
      <c r="AC247" s="231">
        <f t="shared" si="230"/>
        <v>0</v>
      </c>
      <c r="AD247" s="231">
        <f t="shared" si="230"/>
        <v>0</v>
      </c>
      <c r="AE247" s="231">
        <f t="shared" si="230"/>
        <v>0</v>
      </c>
      <c r="AF247" s="231">
        <f t="shared" si="230"/>
        <v>0</v>
      </c>
      <c r="AG247" s="231">
        <f t="shared" si="230"/>
        <v>0</v>
      </c>
      <c r="AH247" s="231">
        <f t="shared" si="230"/>
        <v>0</v>
      </c>
      <c r="AI247" s="231">
        <f t="shared" si="230"/>
        <v>0</v>
      </c>
      <c r="AJ247" s="231">
        <f t="shared" si="230"/>
        <v>0</v>
      </c>
      <c r="AK247" s="231">
        <f t="shared" si="230"/>
        <v>0</v>
      </c>
      <c r="AL247" s="231">
        <f t="shared" si="230"/>
        <v>0</v>
      </c>
      <c r="AM247" s="231">
        <f t="shared" si="230"/>
        <v>0</v>
      </c>
      <c r="AN247" s="231">
        <f t="shared" si="230"/>
        <v>0</v>
      </c>
      <c r="AO247" s="231">
        <f t="shared" si="230"/>
        <v>0</v>
      </c>
      <c r="AP247" s="60"/>
      <c r="AQ247" s="60"/>
      <c r="AR247" s="60"/>
      <c r="AS247" s="60"/>
      <c r="AT247" s="60"/>
    </row>
    <row r="248" spans="8:46" ht="20.25" customHeight="1">
      <c r="H248" s="105" t="s">
        <v>248</v>
      </c>
      <c r="I248" s="107" t="s">
        <v>29</v>
      </c>
      <c r="J248" s="232">
        <f t="shared" si="228"/>
        <v>0</v>
      </c>
      <c r="K248" s="232">
        <f t="shared" si="229"/>
        <v>0</v>
      </c>
      <c r="L248" s="231">
        <f t="shared" ref="L248:AO248" si="231">L164</f>
        <v>0</v>
      </c>
      <c r="M248" s="231">
        <f t="shared" si="231"/>
        <v>0</v>
      </c>
      <c r="N248" s="231">
        <f t="shared" si="231"/>
        <v>0</v>
      </c>
      <c r="O248" s="231">
        <f t="shared" si="231"/>
        <v>0</v>
      </c>
      <c r="P248" s="231">
        <f t="shared" si="231"/>
        <v>0</v>
      </c>
      <c r="Q248" s="231">
        <f t="shared" si="231"/>
        <v>0</v>
      </c>
      <c r="R248" s="231">
        <f t="shared" si="231"/>
        <v>0</v>
      </c>
      <c r="S248" s="231">
        <f t="shared" si="231"/>
        <v>0</v>
      </c>
      <c r="T248" s="231">
        <f t="shared" si="231"/>
        <v>0</v>
      </c>
      <c r="U248" s="231">
        <f t="shared" si="231"/>
        <v>0</v>
      </c>
      <c r="V248" s="231">
        <f t="shared" si="231"/>
        <v>0</v>
      </c>
      <c r="W248" s="231">
        <f t="shared" si="231"/>
        <v>0</v>
      </c>
      <c r="X248" s="231">
        <f t="shared" si="231"/>
        <v>0</v>
      </c>
      <c r="Y248" s="231">
        <f t="shared" si="231"/>
        <v>0</v>
      </c>
      <c r="Z248" s="231">
        <f t="shared" si="231"/>
        <v>0</v>
      </c>
      <c r="AA248" s="231">
        <f t="shared" si="231"/>
        <v>0</v>
      </c>
      <c r="AB248" s="231">
        <f t="shared" si="231"/>
        <v>0</v>
      </c>
      <c r="AC248" s="231">
        <f t="shared" si="231"/>
        <v>0</v>
      </c>
      <c r="AD248" s="231">
        <f t="shared" si="231"/>
        <v>0</v>
      </c>
      <c r="AE248" s="231">
        <f t="shared" si="231"/>
        <v>0</v>
      </c>
      <c r="AF248" s="231">
        <f t="shared" si="231"/>
        <v>0</v>
      </c>
      <c r="AG248" s="231">
        <f t="shared" si="231"/>
        <v>0</v>
      </c>
      <c r="AH248" s="231">
        <f t="shared" si="231"/>
        <v>0</v>
      </c>
      <c r="AI248" s="231">
        <f t="shared" si="231"/>
        <v>0</v>
      </c>
      <c r="AJ248" s="231">
        <f t="shared" si="231"/>
        <v>0</v>
      </c>
      <c r="AK248" s="231">
        <f t="shared" si="231"/>
        <v>0</v>
      </c>
      <c r="AL248" s="231">
        <f t="shared" si="231"/>
        <v>0</v>
      </c>
      <c r="AM248" s="231">
        <f t="shared" si="231"/>
        <v>0</v>
      </c>
      <c r="AN248" s="231">
        <f t="shared" si="231"/>
        <v>0</v>
      </c>
      <c r="AO248" s="231">
        <f t="shared" si="231"/>
        <v>0</v>
      </c>
      <c r="AP248" s="60"/>
      <c r="AQ248" s="60"/>
      <c r="AR248" s="60"/>
      <c r="AS248" s="60"/>
      <c r="AT248" s="60"/>
    </row>
    <row r="249" spans="8:46" ht="20.25" customHeight="1">
      <c r="H249" s="105" t="s">
        <v>68</v>
      </c>
      <c r="I249" s="107" t="s">
        <v>29</v>
      </c>
      <c r="J249" s="232">
        <f t="shared" si="228"/>
        <v>4617.8680000000013</v>
      </c>
      <c r="K249" s="232">
        <f t="shared" si="229"/>
        <v>4617.8680000000013</v>
      </c>
      <c r="L249" s="231">
        <f t="shared" ref="L249:AO249" si="232">L165+L36</f>
        <v>0</v>
      </c>
      <c r="M249" s="231">
        <f t="shared" si="232"/>
        <v>0</v>
      </c>
      <c r="N249" s="231">
        <f t="shared" si="232"/>
        <v>0</v>
      </c>
      <c r="O249" s="231">
        <f t="shared" si="232"/>
        <v>4617.8680000000013</v>
      </c>
      <c r="P249" s="231">
        <f t="shared" si="232"/>
        <v>0</v>
      </c>
      <c r="Q249" s="231">
        <f t="shared" si="232"/>
        <v>0</v>
      </c>
      <c r="R249" s="231">
        <f t="shared" si="232"/>
        <v>0</v>
      </c>
      <c r="S249" s="231">
        <f t="shared" si="232"/>
        <v>0</v>
      </c>
      <c r="T249" s="231">
        <f t="shared" si="232"/>
        <v>0</v>
      </c>
      <c r="U249" s="231">
        <f t="shared" si="232"/>
        <v>0</v>
      </c>
      <c r="V249" s="231">
        <f t="shared" si="232"/>
        <v>0</v>
      </c>
      <c r="W249" s="231">
        <f t="shared" si="232"/>
        <v>0</v>
      </c>
      <c r="X249" s="231">
        <f t="shared" si="232"/>
        <v>0</v>
      </c>
      <c r="Y249" s="231">
        <f t="shared" si="232"/>
        <v>0</v>
      </c>
      <c r="Z249" s="231">
        <f t="shared" si="232"/>
        <v>0</v>
      </c>
      <c r="AA249" s="231">
        <f t="shared" si="232"/>
        <v>0</v>
      </c>
      <c r="AB249" s="231">
        <f t="shared" si="232"/>
        <v>0</v>
      </c>
      <c r="AC249" s="231">
        <f t="shared" si="232"/>
        <v>0</v>
      </c>
      <c r="AD249" s="231">
        <f t="shared" si="232"/>
        <v>0</v>
      </c>
      <c r="AE249" s="231">
        <f t="shared" si="232"/>
        <v>0</v>
      </c>
      <c r="AF249" s="231">
        <f t="shared" si="232"/>
        <v>0</v>
      </c>
      <c r="AG249" s="231">
        <f t="shared" si="232"/>
        <v>0</v>
      </c>
      <c r="AH249" s="231">
        <f t="shared" si="232"/>
        <v>0</v>
      </c>
      <c r="AI249" s="231">
        <f t="shared" si="232"/>
        <v>0</v>
      </c>
      <c r="AJ249" s="231">
        <f t="shared" si="232"/>
        <v>0</v>
      </c>
      <c r="AK249" s="231">
        <f t="shared" si="232"/>
        <v>0</v>
      </c>
      <c r="AL249" s="231">
        <f t="shared" si="232"/>
        <v>0</v>
      </c>
      <c r="AM249" s="231">
        <f t="shared" si="232"/>
        <v>0</v>
      </c>
      <c r="AN249" s="231">
        <f t="shared" si="232"/>
        <v>0</v>
      </c>
      <c r="AO249" s="231">
        <f t="shared" si="232"/>
        <v>0</v>
      </c>
      <c r="AP249" s="60"/>
      <c r="AQ249" s="60"/>
      <c r="AR249" s="60"/>
      <c r="AS249" s="60"/>
      <c r="AT249" s="60"/>
    </row>
    <row r="250" spans="8:46" ht="20.25" customHeight="1">
      <c r="H250" s="120" t="s">
        <v>71</v>
      </c>
      <c r="I250" s="121" t="s">
        <v>29</v>
      </c>
      <c r="J250" s="225">
        <f>SUM(J246:J249)</f>
        <v>4617.8680000000013</v>
      </c>
      <c r="K250" s="225">
        <f t="shared" ref="K250:AO250" si="233">SUM(K246:K249)</f>
        <v>4617.8680000000013</v>
      </c>
      <c r="L250" s="225">
        <f t="shared" si="233"/>
        <v>0</v>
      </c>
      <c r="M250" s="225">
        <f t="shared" si="233"/>
        <v>0</v>
      </c>
      <c r="N250" s="225">
        <f t="shared" si="233"/>
        <v>0</v>
      </c>
      <c r="O250" s="225">
        <f t="shared" si="233"/>
        <v>4617.8680000000013</v>
      </c>
      <c r="P250" s="225">
        <f t="shared" si="233"/>
        <v>0</v>
      </c>
      <c r="Q250" s="225">
        <f t="shared" si="233"/>
        <v>0</v>
      </c>
      <c r="R250" s="225">
        <f t="shared" si="233"/>
        <v>0</v>
      </c>
      <c r="S250" s="225">
        <f t="shared" si="233"/>
        <v>0</v>
      </c>
      <c r="T250" s="225">
        <f t="shared" si="233"/>
        <v>0</v>
      </c>
      <c r="U250" s="225">
        <f t="shared" si="233"/>
        <v>0</v>
      </c>
      <c r="V250" s="225">
        <f t="shared" si="233"/>
        <v>0</v>
      </c>
      <c r="W250" s="225">
        <f t="shared" si="233"/>
        <v>0</v>
      </c>
      <c r="X250" s="225">
        <f t="shared" si="233"/>
        <v>0</v>
      </c>
      <c r="Y250" s="225">
        <f t="shared" si="233"/>
        <v>0</v>
      </c>
      <c r="Z250" s="225">
        <f t="shared" si="233"/>
        <v>0</v>
      </c>
      <c r="AA250" s="225">
        <f t="shared" si="233"/>
        <v>0</v>
      </c>
      <c r="AB250" s="225">
        <f t="shared" si="233"/>
        <v>0</v>
      </c>
      <c r="AC250" s="225">
        <f t="shared" si="233"/>
        <v>0</v>
      </c>
      <c r="AD250" s="225">
        <f t="shared" si="233"/>
        <v>0</v>
      </c>
      <c r="AE250" s="225">
        <f t="shared" si="233"/>
        <v>0</v>
      </c>
      <c r="AF250" s="225">
        <f t="shared" si="233"/>
        <v>0</v>
      </c>
      <c r="AG250" s="225">
        <f t="shared" si="233"/>
        <v>0</v>
      </c>
      <c r="AH250" s="225">
        <f t="shared" si="233"/>
        <v>0</v>
      </c>
      <c r="AI250" s="225">
        <f t="shared" si="233"/>
        <v>0</v>
      </c>
      <c r="AJ250" s="225">
        <f t="shared" si="233"/>
        <v>0</v>
      </c>
      <c r="AK250" s="225">
        <f t="shared" si="233"/>
        <v>0</v>
      </c>
      <c r="AL250" s="225">
        <f t="shared" si="233"/>
        <v>0</v>
      </c>
      <c r="AM250" s="225">
        <f t="shared" si="233"/>
        <v>0</v>
      </c>
      <c r="AN250" s="225">
        <f t="shared" si="233"/>
        <v>0</v>
      </c>
      <c r="AO250" s="225">
        <f t="shared" si="233"/>
        <v>0</v>
      </c>
      <c r="AP250" s="60"/>
      <c r="AQ250" s="60"/>
      <c r="AR250" s="60"/>
      <c r="AS250" s="60"/>
      <c r="AT250" s="60"/>
    </row>
    <row r="251" spans="8:46" ht="20.25" customHeight="1">
      <c r="H251" s="60"/>
      <c r="I251" s="60"/>
      <c r="J251" s="230"/>
      <c r="K251" s="230"/>
      <c r="L251" s="230"/>
      <c r="M251" s="230"/>
      <c r="N251" s="230"/>
      <c r="O251" s="230"/>
      <c r="P251" s="230"/>
      <c r="Q251" s="230"/>
      <c r="R251" s="230"/>
      <c r="S251" s="230"/>
      <c r="T251" s="230"/>
      <c r="U251" s="230"/>
      <c r="V251" s="230"/>
      <c r="W251" s="230"/>
      <c r="X251" s="230"/>
      <c r="Y251" s="230"/>
      <c r="Z251" s="230"/>
      <c r="AA251" s="230"/>
      <c r="AB251" s="230"/>
      <c r="AC251" s="230"/>
      <c r="AD251" s="230"/>
      <c r="AE251" s="230"/>
      <c r="AF251" s="230"/>
      <c r="AG251" s="230"/>
      <c r="AH251" s="230"/>
      <c r="AI251" s="230"/>
      <c r="AJ251" s="230"/>
      <c r="AK251" s="230"/>
      <c r="AL251" s="230"/>
      <c r="AM251" s="230"/>
      <c r="AN251" s="230"/>
      <c r="AO251" s="230"/>
      <c r="AP251" s="60"/>
      <c r="AQ251" s="60"/>
      <c r="AR251" s="60"/>
      <c r="AS251" s="60"/>
      <c r="AT251" s="60"/>
    </row>
    <row r="252" spans="8:46" ht="20.25" customHeight="1">
      <c r="H252" s="113" t="s">
        <v>77</v>
      </c>
      <c r="I252" s="114"/>
      <c r="J252" s="234"/>
      <c r="K252" s="235"/>
      <c r="L252" s="235"/>
      <c r="M252" s="235"/>
      <c r="N252" s="235"/>
      <c r="O252" s="235"/>
      <c r="P252" s="235"/>
      <c r="Q252" s="235"/>
      <c r="R252" s="235"/>
      <c r="S252" s="235"/>
      <c r="T252" s="235"/>
      <c r="U252" s="235"/>
      <c r="V252" s="235"/>
      <c r="W252" s="235"/>
      <c r="X252" s="235"/>
      <c r="Y252" s="235"/>
      <c r="Z252" s="235"/>
      <c r="AA252" s="235"/>
      <c r="AB252" s="235"/>
      <c r="AC252" s="235"/>
      <c r="AD252" s="235"/>
      <c r="AE252" s="235"/>
      <c r="AF252" s="235"/>
      <c r="AG252" s="235"/>
      <c r="AH252" s="235"/>
      <c r="AI252" s="235"/>
      <c r="AJ252" s="235"/>
      <c r="AK252" s="235"/>
      <c r="AL252" s="235"/>
      <c r="AM252" s="235"/>
      <c r="AN252" s="235"/>
      <c r="AO252" s="235"/>
      <c r="AP252" s="59"/>
      <c r="AQ252" s="59"/>
      <c r="AR252" s="59"/>
      <c r="AS252" s="60"/>
      <c r="AT252" s="60"/>
    </row>
    <row r="253" spans="8:46" ht="20.25" customHeight="1">
      <c r="H253" s="105" t="s">
        <v>278</v>
      </c>
      <c r="I253" s="107" t="s">
        <v>29</v>
      </c>
      <c r="J253" s="232">
        <f t="shared" ref="J253:J257" si="234">SUMIF($L$19:$AO$19,1,L253:AO253)</f>
        <v>3783.4699999999993</v>
      </c>
      <c r="K253" s="232">
        <f t="shared" ref="K253:K257" si="235">SUMIF($L$18:$AO$18,1,L253:AO253)</f>
        <v>3783.4699999999993</v>
      </c>
      <c r="L253" s="231">
        <f t="shared" ref="L253:AO253" si="236">L60+L169</f>
        <v>-4.68</v>
      </c>
      <c r="M253" s="231">
        <f t="shared" si="236"/>
        <v>-30.08</v>
      </c>
      <c r="N253" s="231">
        <f t="shared" si="236"/>
        <v>3922.23</v>
      </c>
      <c r="O253" s="231">
        <f t="shared" si="236"/>
        <v>408.76</v>
      </c>
      <c r="P253" s="231">
        <f t="shared" si="236"/>
        <v>-29.75</v>
      </c>
      <c r="Q253" s="231">
        <f t="shared" si="236"/>
        <v>-30.08</v>
      </c>
      <c r="R253" s="231">
        <f t="shared" si="236"/>
        <v>-30.42</v>
      </c>
      <c r="S253" s="231">
        <f t="shared" si="236"/>
        <v>-30.42</v>
      </c>
      <c r="T253" s="231">
        <f t="shared" si="236"/>
        <v>-30.08</v>
      </c>
      <c r="U253" s="231">
        <f t="shared" si="236"/>
        <v>-30.08</v>
      </c>
      <c r="V253" s="231">
        <f t="shared" si="236"/>
        <v>-30.42</v>
      </c>
      <c r="W253" s="231">
        <f t="shared" si="236"/>
        <v>-30.42</v>
      </c>
      <c r="X253" s="231">
        <f t="shared" si="236"/>
        <v>-29.75</v>
      </c>
      <c r="Y253" s="231">
        <f t="shared" si="236"/>
        <v>-30.08</v>
      </c>
      <c r="Z253" s="231">
        <f t="shared" si="236"/>
        <v>-30.42</v>
      </c>
      <c r="AA253" s="231">
        <f t="shared" si="236"/>
        <v>-30.42</v>
      </c>
      <c r="AB253" s="231">
        <f t="shared" si="236"/>
        <v>-29.75</v>
      </c>
      <c r="AC253" s="231">
        <f t="shared" si="236"/>
        <v>-30.08</v>
      </c>
      <c r="AD253" s="231">
        <f t="shared" si="236"/>
        <v>-30.42</v>
      </c>
      <c r="AE253" s="231">
        <f t="shared" si="236"/>
        <v>-30.42</v>
      </c>
      <c r="AF253" s="231">
        <f t="shared" si="236"/>
        <v>-29.75</v>
      </c>
      <c r="AG253" s="231">
        <f t="shared" si="236"/>
        <v>0</v>
      </c>
      <c r="AH253" s="231">
        <f t="shared" si="236"/>
        <v>0</v>
      </c>
      <c r="AI253" s="231">
        <f t="shared" si="236"/>
        <v>0</v>
      </c>
      <c r="AJ253" s="231">
        <f t="shared" si="236"/>
        <v>0</v>
      </c>
      <c r="AK253" s="231">
        <f t="shared" si="236"/>
        <v>0</v>
      </c>
      <c r="AL253" s="231">
        <f t="shared" si="236"/>
        <v>0</v>
      </c>
      <c r="AM253" s="231">
        <f t="shared" si="236"/>
        <v>0</v>
      </c>
      <c r="AN253" s="231">
        <f t="shared" si="236"/>
        <v>0</v>
      </c>
      <c r="AO253" s="231">
        <f t="shared" si="236"/>
        <v>0</v>
      </c>
      <c r="AP253" s="60"/>
      <c r="AQ253" s="60"/>
      <c r="AR253" s="60"/>
      <c r="AS253" s="60"/>
      <c r="AT253" s="60"/>
    </row>
    <row r="254" spans="8:46" ht="20.25" customHeight="1">
      <c r="H254" s="105" t="s">
        <v>250</v>
      </c>
      <c r="I254" s="107" t="s">
        <v>29</v>
      </c>
      <c r="J254" s="232">
        <f t="shared" si="234"/>
        <v>-30789.759999999998</v>
      </c>
      <c r="K254" s="232">
        <f t="shared" si="235"/>
        <v>-20157.71</v>
      </c>
      <c r="L254" s="231">
        <f t="shared" ref="L254:AO254" si="237">L74+L170</f>
        <v>0</v>
      </c>
      <c r="M254" s="231">
        <f t="shared" si="237"/>
        <v>0</v>
      </c>
      <c r="N254" s="231">
        <f t="shared" si="237"/>
        <v>-913.5</v>
      </c>
      <c r="O254" s="231">
        <f t="shared" si="237"/>
        <v>-913.5</v>
      </c>
      <c r="P254" s="231">
        <f t="shared" si="237"/>
        <v>-931.5</v>
      </c>
      <c r="Q254" s="231">
        <f t="shared" si="237"/>
        <v>-950.04</v>
      </c>
      <c r="R254" s="231">
        <f t="shared" si="237"/>
        <v>-969.21999999999991</v>
      </c>
      <c r="S254" s="231">
        <f t="shared" si="237"/>
        <v>-988.77</v>
      </c>
      <c r="T254" s="231">
        <f t="shared" si="237"/>
        <v>-1005.49</v>
      </c>
      <c r="U254" s="231">
        <f t="shared" si="237"/>
        <v>-1022.49</v>
      </c>
      <c r="V254" s="231">
        <f t="shared" si="237"/>
        <v>-1039.9299999999998</v>
      </c>
      <c r="W254" s="231">
        <f t="shared" si="237"/>
        <v>-1057.75</v>
      </c>
      <c r="X254" s="231">
        <f t="shared" si="237"/>
        <v>-1075.47</v>
      </c>
      <c r="Y254" s="231">
        <f t="shared" si="237"/>
        <v>-1093.74</v>
      </c>
      <c r="Z254" s="231">
        <f t="shared" si="237"/>
        <v>-1112.46</v>
      </c>
      <c r="AA254" s="231">
        <f t="shared" si="237"/>
        <v>-1131.5600000000002</v>
      </c>
      <c r="AB254" s="231">
        <f t="shared" si="237"/>
        <v>-1150.56</v>
      </c>
      <c r="AC254" s="231">
        <f t="shared" si="237"/>
        <v>-1170.1100000000001</v>
      </c>
      <c r="AD254" s="231">
        <f t="shared" si="237"/>
        <v>-1190.2</v>
      </c>
      <c r="AE254" s="231">
        <f t="shared" si="237"/>
        <v>-1210.5700000000002</v>
      </c>
      <c r="AF254" s="231">
        <f t="shared" si="237"/>
        <v>-1230.8499999999999</v>
      </c>
      <c r="AG254" s="231">
        <f t="shared" si="237"/>
        <v>-1251.68</v>
      </c>
      <c r="AH254" s="231">
        <f t="shared" si="237"/>
        <v>-1273.1500000000001</v>
      </c>
      <c r="AI254" s="231">
        <f t="shared" si="237"/>
        <v>-1294.98</v>
      </c>
      <c r="AJ254" s="231">
        <f t="shared" si="237"/>
        <v>-1316.9</v>
      </c>
      <c r="AK254" s="231">
        <f t="shared" si="237"/>
        <v>-1339.19</v>
      </c>
      <c r="AL254" s="231">
        <f t="shared" si="237"/>
        <v>-1362.1200000000001</v>
      </c>
      <c r="AM254" s="231">
        <f t="shared" si="237"/>
        <v>-1385.41</v>
      </c>
      <c r="AN254" s="231">
        <f t="shared" si="237"/>
        <v>-1408.62</v>
      </c>
      <c r="AO254" s="231">
        <f t="shared" si="237"/>
        <v>0</v>
      </c>
      <c r="AP254" s="60"/>
      <c r="AQ254" s="60"/>
      <c r="AR254" s="60"/>
      <c r="AS254" s="60"/>
      <c r="AT254" s="60"/>
    </row>
    <row r="255" spans="8:46" ht="20.25" customHeight="1">
      <c r="H255" s="105" t="s">
        <v>251</v>
      </c>
      <c r="I255" s="107" t="s">
        <v>29</v>
      </c>
      <c r="J255" s="232">
        <f t="shared" si="234"/>
        <v>0</v>
      </c>
      <c r="K255" s="232">
        <f t="shared" si="235"/>
        <v>0</v>
      </c>
      <c r="L255" s="231">
        <f t="shared" ref="L255:AO255" si="238">L171</f>
        <v>0</v>
      </c>
      <c r="M255" s="231">
        <f t="shared" si="238"/>
        <v>0</v>
      </c>
      <c r="N255" s="231">
        <f t="shared" si="238"/>
        <v>0</v>
      </c>
      <c r="O255" s="231">
        <f t="shared" si="238"/>
        <v>0</v>
      </c>
      <c r="P255" s="231">
        <f t="shared" si="238"/>
        <v>0</v>
      </c>
      <c r="Q255" s="231">
        <f t="shared" si="238"/>
        <v>0</v>
      </c>
      <c r="R255" s="231">
        <f t="shared" si="238"/>
        <v>0</v>
      </c>
      <c r="S255" s="231">
        <f t="shared" si="238"/>
        <v>0</v>
      </c>
      <c r="T255" s="231">
        <f t="shared" si="238"/>
        <v>0</v>
      </c>
      <c r="U255" s="231">
        <f t="shared" si="238"/>
        <v>0</v>
      </c>
      <c r="V255" s="231">
        <f t="shared" si="238"/>
        <v>0</v>
      </c>
      <c r="W255" s="231">
        <f t="shared" si="238"/>
        <v>0</v>
      </c>
      <c r="X255" s="231">
        <f t="shared" si="238"/>
        <v>0</v>
      </c>
      <c r="Y255" s="231">
        <f t="shared" si="238"/>
        <v>0</v>
      </c>
      <c r="Z255" s="231">
        <f t="shared" si="238"/>
        <v>0</v>
      </c>
      <c r="AA255" s="231">
        <f t="shared" si="238"/>
        <v>0</v>
      </c>
      <c r="AB255" s="231">
        <f t="shared" si="238"/>
        <v>0</v>
      </c>
      <c r="AC255" s="231">
        <f t="shared" si="238"/>
        <v>0</v>
      </c>
      <c r="AD255" s="231">
        <f t="shared" si="238"/>
        <v>0</v>
      </c>
      <c r="AE255" s="231">
        <f t="shared" si="238"/>
        <v>0</v>
      </c>
      <c r="AF255" s="231">
        <f t="shared" si="238"/>
        <v>0</v>
      </c>
      <c r="AG255" s="231">
        <f t="shared" si="238"/>
        <v>0</v>
      </c>
      <c r="AH255" s="231">
        <f t="shared" si="238"/>
        <v>0</v>
      </c>
      <c r="AI255" s="231">
        <f t="shared" si="238"/>
        <v>0</v>
      </c>
      <c r="AJ255" s="231">
        <f t="shared" si="238"/>
        <v>0</v>
      </c>
      <c r="AK255" s="231">
        <f t="shared" si="238"/>
        <v>0</v>
      </c>
      <c r="AL255" s="231">
        <f t="shared" si="238"/>
        <v>0</v>
      </c>
      <c r="AM255" s="231">
        <f t="shared" si="238"/>
        <v>0</v>
      </c>
      <c r="AN255" s="231">
        <f t="shared" si="238"/>
        <v>0</v>
      </c>
      <c r="AO255" s="231">
        <f t="shared" si="238"/>
        <v>0</v>
      </c>
      <c r="AP255" s="60"/>
      <c r="AQ255" s="60"/>
      <c r="AR255" s="60"/>
      <c r="AS255" s="60"/>
      <c r="AT255" s="60"/>
    </row>
    <row r="256" spans="8:46" ht="20.25" customHeight="1">
      <c r="H256" s="105" t="str">
        <f>H83</f>
        <v>Уплата налога на прибыль (-)</v>
      </c>
      <c r="I256" s="107" t="s">
        <v>29</v>
      </c>
      <c r="J256" s="232">
        <f t="shared" si="234"/>
        <v>18915.193902049181</v>
      </c>
      <c r="K256" s="232">
        <f t="shared" si="235"/>
        <v>15040.80906352459</v>
      </c>
      <c r="L256" s="231">
        <f t="shared" ref="L256:AO256" si="239">L83+L172</f>
        <v>1.17</v>
      </c>
      <c r="M256" s="231">
        <f t="shared" si="239"/>
        <v>464.06657817622954</v>
      </c>
      <c r="N256" s="231">
        <f t="shared" si="239"/>
        <v>-204.35092182377048</v>
      </c>
      <c r="O256" s="231">
        <f t="shared" si="239"/>
        <v>674.01657817622959</v>
      </c>
      <c r="P256" s="231">
        <f t="shared" si="239"/>
        <v>611.74907817622955</v>
      </c>
      <c r="Q256" s="231">
        <f t="shared" si="239"/>
        <v>776.71157817622952</v>
      </c>
      <c r="R256" s="231">
        <f t="shared" si="239"/>
        <v>803.30907817622949</v>
      </c>
      <c r="S256" s="231">
        <f t="shared" si="239"/>
        <v>810.15157817622958</v>
      </c>
      <c r="T256" s="231">
        <f t="shared" si="239"/>
        <v>815.91657817622956</v>
      </c>
      <c r="U256" s="231">
        <f t="shared" si="239"/>
        <v>821.86157817622961</v>
      </c>
      <c r="V256" s="231">
        <f t="shared" si="239"/>
        <v>828.05157817622944</v>
      </c>
      <c r="W256" s="231">
        <f t="shared" si="239"/>
        <v>834.28657817622957</v>
      </c>
      <c r="X256" s="231">
        <f t="shared" si="239"/>
        <v>840.3190781762296</v>
      </c>
      <c r="Y256" s="231">
        <f t="shared" si="239"/>
        <v>846.79657817622956</v>
      </c>
      <c r="Z256" s="231">
        <f t="shared" si="239"/>
        <v>853.43157817622955</v>
      </c>
      <c r="AA256" s="231">
        <f t="shared" si="239"/>
        <v>860.11407817622967</v>
      </c>
      <c r="AB256" s="231">
        <f t="shared" si="239"/>
        <v>866.59657817622951</v>
      </c>
      <c r="AC256" s="231">
        <f t="shared" si="239"/>
        <v>873.51907817622953</v>
      </c>
      <c r="AD256" s="231">
        <f t="shared" si="239"/>
        <v>880.63657817622959</v>
      </c>
      <c r="AE256" s="231">
        <f t="shared" si="239"/>
        <v>887.76407817622953</v>
      </c>
      <c r="AF256" s="231">
        <f t="shared" si="239"/>
        <v>894.69157817622954</v>
      </c>
      <c r="AG256" s="231">
        <f t="shared" si="239"/>
        <v>457.23935481557379</v>
      </c>
      <c r="AH256" s="231">
        <f t="shared" si="239"/>
        <v>464.75185481557378</v>
      </c>
      <c r="AI256" s="231">
        <f t="shared" si="239"/>
        <v>472.38935481557382</v>
      </c>
      <c r="AJ256" s="231">
        <f t="shared" si="239"/>
        <v>480.06185481557384</v>
      </c>
      <c r="AK256" s="231">
        <f t="shared" si="239"/>
        <v>487.86185481557385</v>
      </c>
      <c r="AL256" s="231">
        <f t="shared" si="239"/>
        <v>495.88685481557383</v>
      </c>
      <c r="AM256" s="231">
        <f t="shared" si="239"/>
        <v>504.0368548155738</v>
      </c>
      <c r="AN256" s="231">
        <f t="shared" si="239"/>
        <v>512.15685481557375</v>
      </c>
      <c r="AO256" s="231">
        <f t="shared" si="239"/>
        <v>19.241854815573774</v>
      </c>
      <c r="AP256" s="60"/>
      <c r="AQ256" s="60"/>
      <c r="AR256" s="60"/>
      <c r="AS256" s="60"/>
      <c r="AT256" s="60"/>
    </row>
    <row r="257" spans="8:46" ht="20.25" customHeight="1">
      <c r="H257" s="105" t="s">
        <v>252</v>
      </c>
      <c r="I257" s="107" t="s">
        <v>29</v>
      </c>
      <c r="J257" s="232">
        <f t="shared" si="234"/>
        <v>-13670.107739344261</v>
      </c>
      <c r="K257" s="232">
        <f t="shared" si="235"/>
        <v>-8804.6183852459017</v>
      </c>
      <c r="L257" s="231">
        <f t="shared" ref="L257:AO257" si="240">L77+L82+L123+L124+L173</f>
        <v>0</v>
      </c>
      <c r="M257" s="231">
        <f t="shared" si="240"/>
        <v>-76.967419262295095</v>
      </c>
      <c r="N257" s="231">
        <f t="shared" si="240"/>
        <v>-442.10741926229508</v>
      </c>
      <c r="O257" s="231">
        <f t="shared" si="240"/>
        <v>-442.10741926229508</v>
      </c>
      <c r="P257" s="231">
        <f t="shared" si="240"/>
        <v>263.47258073770485</v>
      </c>
      <c r="Q257" s="231">
        <f t="shared" si="240"/>
        <v>-377.50741926229512</v>
      </c>
      <c r="R257" s="231">
        <f t="shared" si="240"/>
        <v>-464.37741926229512</v>
      </c>
      <c r="S257" s="231">
        <f t="shared" si="240"/>
        <v>-472.19741926229506</v>
      </c>
      <c r="T257" s="231">
        <f t="shared" si="240"/>
        <v>-478.87741926229512</v>
      </c>
      <c r="U257" s="231">
        <f t="shared" si="240"/>
        <v>-485.65741926229509</v>
      </c>
      <c r="V257" s="231">
        <f t="shared" si="240"/>
        <v>-492.63741926229505</v>
      </c>
      <c r="W257" s="231">
        <f t="shared" si="240"/>
        <v>-499.75741926229512</v>
      </c>
      <c r="X257" s="231">
        <f t="shared" si="240"/>
        <v>-506.8374192622951</v>
      </c>
      <c r="Y257" s="231">
        <f t="shared" si="240"/>
        <v>-514.1474192622951</v>
      </c>
      <c r="Z257" s="231">
        <f t="shared" si="240"/>
        <v>-521.62741926229512</v>
      </c>
      <c r="AA257" s="231">
        <f t="shared" si="240"/>
        <v>-529.25741926229512</v>
      </c>
      <c r="AB257" s="231">
        <f t="shared" si="240"/>
        <v>-536.85741926229514</v>
      </c>
      <c r="AC257" s="231">
        <f t="shared" si="240"/>
        <v>-544.66741926229508</v>
      </c>
      <c r="AD257" s="231">
        <f t="shared" si="240"/>
        <v>-552.70741926229505</v>
      </c>
      <c r="AE257" s="231">
        <f t="shared" si="240"/>
        <v>-560.84741926229503</v>
      </c>
      <c r="AF257" s="231">
        <f t="shared" si="240"/>
        <v>-568.94741926229517</v>
      </c>
      <c r="AG257" s="231">
        <f t="shared" si="240"/>
        <v>-577.2774192622951</v>
      </c>
      <c r="AH257" s="231">
        <f t="shared" si="240"/>
        <v>-585.85741926229502</v>
      </c>
      <c r="AI257" s="231">
        <f t="shared" si="240"/>
        <v>-594.57741926229505</v>
      </c>
      <c r="AJ257" s="231">
        <f t="shared" si="240"/>
        <v>-603.34741926229515</v>
      </c>
      <c r="AK257" s="231">
        <f t="shared" si="240"/>
        <v>-612.25741926229512</v>
      </c>
      <c r="AL257" s="231">
        <f t="shared" si="240"/>
        <v>-621.42741926229519</v>
      </c>
      <c r="AM257" s="231">
        <f t="shared" si="240"/>
        <v>-630.73741926229513</v>
      </c>
      <c r="AN257" s="231">
        <f t="shared" si="240"/>
        <v>-640.00741926229512</v>
      </c>
      <c r="AO257" s="231">
        <f t="shared" si="240"/>
        <v>-76.967419262295095</v>
      </c>
      <c r="AP257" s="60"/>
      <c r="AQ257" s="60"/>
      <c r="AR257" s="60"/>
      <c r="AS257" s="60"/>
      <c r="AT257" s="60"/>
    </row>
    <row r="258" spans="8:46" ht="20.25" customHeight="1">
      <c r="H258" s="120" t="s">
        <v>71</v>
      </c>
      <c r="I258" s="121" t="s">
        <v>29</v>
      </c>
      <c r="J258" s="225">
        <f>SUM(J253:J257)</f>
        <v>-21761.203837295081</v>
      </c>
      <c r="K258" s="225">
        <f>SUM(K253:K257)</f>
        <v>-10138.049321721312</v>
      </c>
      <c r="L258" s="225">
        <f>SUM(L253:L257)</f>
        <v>-3.51</v>
      </c>
      <c r="M258" s="225">
        <f t="shared" ref="M258:AO258" si="241">SUM(M253:M257)</f>
        <v>357.01915891393446</v>
      </c>
      <c r="N258" s="225">
        <f t="shared" si="241"/>
        <v>2362.2716589139345</v>
      </c>
      <c r="O258" s="225">
        <f t="shared" si="241"/>
        <v>-272.8308410860655</v>
      </c>
      <c r="P258" s="225">
        <f t="shared" si="241"/>
        <v>-86.028341086065609</v>
      </c>
      <c r="Q258" s="225">
        <f t="shared" si="241"/>
        <v>-580.9158410860656</v>
      </c>
      <c r="R258" s="225">
        <f t="shared" si="241"/>
        <v>-660.7083410860655</v>
      </c>
      <c r="S258" s="225">
        <f t="shared" si="241"/>
        <v>-681.23584108606542</v>
      </c>
      <c r="T258" s="225">
        <f t="shared" si="241"/>
        <v>-698.53084108606549</v>
      </c>
      <c r="U258" s="225">
        <f t="shared" si="241"/>
        <v>-716.36584108606542</v>
      </c>
      <c r="V258" s="225">
        <f t="shared" si="241"/>
        <v>-734.93584108606547</v>
      </c>
      <c r="W258" s="225">
        <f t="shared" si="241"/>
        <v>-753.64084108606562</v>
      </c>
      <c r="X258" s="225">
        <f t="shared" si="241"/>
        <v>-771.73834108606547</v>
      </c>
      <c r="Y258" s="225">
        <f t="shared" si="241"/>
        <v>-791.17084108606548</v>
      </c>
      <c r="Z258" s="225">
        <f t="shared" si="241"/>
        <v>-811.07584108606568</v>
      </c>
      <c r="AA258" s="225">
        <f t="shared" si="241"/>
        <v>-831.12334108606569</v>
      </c>
      <c r="AB258" s="225">
        <f t="shared" si="241"/>
        <v>-850.57084108606557</v>
      </c>
      <c r="AC258" s="225">
        <f t="shared" si="241"/>
        <v>-871.33834108606561</v>
      </c>
      <c r="AD258" s="225">
        <f t="shared" si="241"/>
        <v>-892.69084108606557</v>
      </c>
      <c r="AE258" s="225">
        <f t="shared" si="241"/>
        <v>-914.07334108606574</v>
      </c>
      <c r="AF258" s="225">
        <f t="shared" si="241"/>
        <v>-934.85584108606554</v>
      </c>
      <c r="AG258" s="225">
        <f t="shared" si="241"/>
        <v>-1371.7180644467214</v>
      </c>
      <c r="AH258" s="225">
        <f t="shared" si="241"/>
        <v>-1394.2555644467213</v>
      </c>
      <c r="AI258" s="225">
        <f t="shared" si="241"/>
        <v>-1417.1680644467212</v>
      </c>
      <c r="AJ258" s="225">
        <f t="shared" si="241"/>
        <v>-1440.1855644467214</v>
      </c>
      <c r="AK258" s="225">
        <f t="shared" si="241"/>
        <v>-1463.5855644467213</v>
      </c>
      <c r="AL258" s="225">
        <f t="shared" si="241"/>
        <v>-1487.6605644467215</v>
      </c>
      <c r="AM258" s="225">
        <f t="shared" si="241"/>
        <v>-1512.1105644467214</v>
      </c>
      <c r="AN258" s="225">
        <f t="shared" si="241"/>
        <v>-1536.4705644467213</v>
      </c>
      <c r="AO258" s="225">
        <f t="shared" si="241"/>
        <v>-57.725564446721322</v>
      </c>
      <c r="AP258" s="60"/>
      <c r="AQ258" s="60"/>
      <c r="AR258" s="60"/>
      <c r="AS258" s="60"/>
      <c r="AT258" s="60"/>
    </row>
    <row r="259" spans="8:46" ht="20.25" customHeight="1">
      <c r="H259" s="60"/>
      <c r="I259" s="60"/>
      <c r="J259" s="230"/>
      <c r="K259" s="230"/>
      <c r="L259" s="230"/>
      <c r="M259" s="230"/>
      <c r="N259" s="230"/>
      <c r="O259" s="230"/>
      <c r="P259" s="230"/>
      <c r="Q259" s="230"/>
      <c r="R259" s="230"/>
      <c r="S259" s="230"/>
      <c r="T259" s="230"/>
      <c r="U259" s="230"/>
      <c r="V259" s="230"/>
      <c r="W259" s="230"/>
      <c r="X259" s="230"/>
      <c r="Y259" s="230"/>
      <c r="Z259" s="230"/>
      <c r="AA259" s="230"/>
      <c r="AB259" s="230"/>
      <c r="AC259" s="230"/>
      <c r="AD259" s="230"/>
      <c r="AE259" s="230"/>
      <c r="AF259" s="230"/>
      <c r="AG259" s="230"/>
      <c r="AH259" s="230"/>
      <c r="AI259" s="230"/>
      <c r="AJ259" s="230"/>
      <c r="AK259" s="230"/>
      <c r="AL259" s="230"/>
      <c r="AM259" s="230"/>
      <c r="AN259" s="230"/>
      <c r="AO259" s="230"/>
      <c r="AP259" s="60"/>
      <c r="AQ259" s="60"/>
      <c r="AR259" s="60"/>
      <c r="AS259" s="60"/>
      <c r="AT259" s="60"/>
    </row>
    <row r="260" spans="8:46" ht="20.25" customHeight="1">
      <c r="H260" s="120" t="s">
        <v>78</v>
      </c>
      <c r="I260" s="121" t="s">
        <v>29</v>
      </c>
      <c r="J260" s="225">
        <f>J250+J258</f>
        <v>-17143.335837295079</v>
      </c>
      <c r="K260" s="225">
        <f t="shared" ref="K260:AO260" si="242">K250+K258</f>
        <v>-5520.1813217213103</v>
      </c>
      <c r="L260" s="225">
        <f t="shared" si="242"/>
        <v>-3.51</v>
      </c>
      <c r="M260" s="225">
        <f t="shared" si="242"/>
        <v>357.01915891393446</v>
      </c>
      <c r="N260" s="225">
        <f t="shared" si="242"/>
        <v>2362.2716589139345</v>
      </c>
      <c r="O260" s="225">
        <f t="shared" si="242"/>
        <v>4345.0371589139359</v>
      </c>
      <c r="P260" s="225">
        <f t="shared" si="242"/>
        <v>-86.028341086065609</v>
      </c>
      <c r="Q260" s="225">
        <f t="shared" si="242"/>
        <v>-580.9158410860656</v>
      </c>
      <c r="R260" s="225">
        <f t="shared" si="242"/>
        <v>-660.7083410860655</v>
      </c>
      <c r="S260" s="225">
        <f t="shared" si="242"/>
        <v>-681.23584108606542</v>
      </c>
      <c r="T260" s="225">
        <f t="shared" si="242"/>
        <v>-698.53084108606549</v>
      </c>
      <c r="U260" s="225">
        <f t="shared" si="242"/>
        <v>-716.36584108606542</v>
      </c>
      <c r="V260" s="225">
        <f t="shared" si="242"/>
        <v>-734.93584108606547</v>
      </c>
      <c r="W260" s="225">
        <f t="shared" si="242"/>
        <v>-753.64084108606562</v>
      </c>
      <c r="X260" s="225">
        <f t="shared" si="242"/>
        <v>-771.73834108606547</v>
      </c>
      <c r="Y260" s="225">
        <f t="shared" si="242"/>
        <v>-791.17084108606548</v>
      </c>
      <c r="Z260" s="225">
        <f t="shared" si="242"/>
        <v>-811.07584108606568</v>
      </c>
      <c r="AA260" s="225">
        <f t="shared" si="242"/>
        <v>-831.12334108606569</v>
      </c>
      <c r="AB260" s="225">
        <f t="shared" si="242"/>
        <v>-850.57084108606557</v>
      </c>
      <c r="AC260" s="225">
        <f t="shared" si="242"/>
        <v>-871.33834108606561</v>
      </c>
      <c r="AD260" s="225">
        <f t="shared" si="242"/>
        <v>-892.69084108606557</v>
      </c>
      <c r="AE260" s="225">
        <f t="shared" si="242"/>
        <v>-914.07334108606574</v>
      </c>
      <c r="AF260" s="225">
        <f t="shared" si="242"/>
        <v>-934.85584108606554</v>
      </c>
      <c r="AG260" s="225">
        <f t="shared" si="242"/>
        <v>-1371.7180644467214</v>
      </c>
      <c r="AH260" s="225">
        <f t="shared" si="242"/>
        <v>-1394.2555644467213</v>
      </c>
      <c r="AI260" s="225">
        <f t="shared" si="242"/>
        <v>-1417.1680644467212</v>
      </c>
      <c r="AJ260" s="225">
        <f t="shared" si="242"/>
        <v>-1440.1855644467214</v>
      </c>
      <c r="AK260" s="225">
        <f t="shared" si="242"/>
        <v>-1463.5855644467213</v>
      </c>
      <c r="AL260" s="225">
        <f t="shared" si="242"/>
        <v>-1487.6605644467215</v>
      </c>
      <c r="AM260" s="225">
        <f t="shared" si="242"/>
        <v>-1512.1105644467214</v>
      </c>
      <c r="AN260" s="225">
        <f t="shared" si="242"/>
        <v>-1536.4705644467213</v>
      </c>
      <c r="AO260" s="225">
        <f t="shared" si="242"/>
        <v>-57.725564446721322</v>
      </c>
      <c r="AP260" s="60"/>
      <c r="AQ260" s="60"/>
      <c r="AR260" s="60"/>
      <c r="AS260" s="60"/>
      <c r="AT260" s="60"/>
    </row>
    <row r="261" spans="8:46" ht="20.25" customHeight="1">
      <c r="H261" s="60"/>
      <c r="I261" s="60"/>
      <c r="J261" s="230"/>
      <c r="K261" s="230"/>
      <c r="L261" s="230"/>
      <c r="M261" s="230"/>
      <c r="N261" s="230"/>
      <c r="O261" s="230"/>
      <c r="P261" s="230"/>
      <c r="Q261" s="230"/>
      <c r="R261" s="230"/>
      <c r="S261" s="230"/>
      <c r="T261" s="230"/>
      <c r="U261" s="230"/>
      <c r="V261" s="230"/>
      <c r="W261" s="230"/>
      <c r="X261" s="230"/>
      <c r="Y261" s="230"/>
      <c r="Z261" s="230"/>
      <c r="AA261" s="230"/>
      <c r="AB261" s="230"/>
      <c r="AC261" s="230"/>
      <c r="AD261" s="230"/>
      <c r="AE261" s="230"/>
      <c r="AF261" s="230"/>
      <c r="AG261" s="230"/>
      <c r="AH261" s="230"/>
      <c r="AI261" s="230"/>
      <c r="AJ261" s="230"/>
      <c r="AK261" s="230"/>
      <c r="AL261" s="230"/>
      <c r="AM261" s="230"/>
      <c r="AN261" s="230"/>
      <c r="AO261" s="230"/>
      <c r="AP261" s="60"/>
      <c r="AQ261" s="60"/>
      <c r="AR261" s="60"/>
      <c r="AS261" s="60"/>
      <c r="AT261" s="60"/>
    </row>
    <row r="262" spans="8:46" ht="21">
      <c r="H262" s="123" t="s">
        <v>79</v>
      </c>
      <c r="I262" s="124"/>
      <c r="J262" s="236"/>
      <c r="K262" s="236"/>
      <c r="L262" s="237"/>
      <c r="M262" s="237"/>
      <c r="N262" s="237"/>
      <c r="O262" s="237"/>
      <c r="P262" s="237"/>
      <c r="Q262" s="237"/>
      <c r="R262" s="237"/>
      <c r="S262" s="237"/>
      <c r="T262" s="237"/>
      <c r="U262" s="237"/>
      <c r="V262" s="237"/>
      <c r="W262" s="237"/>
      <c r="X262" s="237"/>
      <c r="Y262" s="237"/>
      <c r="Z262" s="237"/>
      <c r="AA262" s="237"/>
      <c r="AB262" s="237"/>
      <c r="AC262" s="237"/>
      <c r="AD262" s="237"/>
      <c r="AE262" s="237"/>
      <c r="AF262" s="237"/>
      <c r="AG262" s="237"/>
      <c r="AH262" s="237"/>
      <c r="AI262" s="237"/>
      <c r="AJ262" s="237"/>
      <c r="AK262" s="237"/>
      <c r="AL262" s="237"/>
      <c r="AM262" s="237"/>
      <c r="AN262" s="237"/>
      <c r="AO262" s="237"/>
      <c r="AP262" s="59"/>
      <c r="AQ262" s="59"/>
      <c r="AR262" s="59"/>
      <c r="AS262" s="59"/>
      <c r="AT262" s="59"/>
    </row>
    <row r="263" spans="8:46" ht="20.25" customHeight="1">
      <c r="H263" s="113" t="s">
        <v>76</v>
      </c>
      <c r="I263" s="114"/>
      <c r="J263" s="234"/>
      <c r="K263" s="235"/>
      <c r="L263" s="235"/>
      <c r="M263" s="235"/>
      <c r="N263" s="235"/>
      <c r="O263" s="235"/>
      <c r="P263" s="235"/>
      <c r="Q263" s="235"/>
      <c r="R263" s="235"/>
      <c r="S263" s="235"/>
      <c r="T263" s="235"/>
      <c r="U263" s="235"/>
      <c r="V263" s="235"/>
      <c r="W263" s="235"/>
      <c r="X263" s="235"/>
      <c r="Y263" s="235"/>
      <c r="Z263" s="235"/>
      <c r="AA263" s="235"/>
      <c r="AB263" s="235"/>
      <c r="AC263" s="235"/>
      <c r="AD263" s="235"/>
      <c r="AE263" s="235"/>
      <c r="AF263" s="235"/>
      <c r="AG263" s="235"/>
      <c r="AH263" s="235"/>
      <c r="AI263" s="235"/>
      <c r="AJ263" s="235"/>
      <c r="AK263" s="235"/>
      <c r="AL263" s="235"/>
      <c r="AM263" s="235"/>
      <c r="AN263" s="235"/>
      <c r="AO263" s="235"/>
      <c r="AP263" s="59"/>
      <c r="AQ263" s="59"/>
      <c r="AR263" s="59"/>
      <c r="AS263" s="60"/>
      <c r="AT263" s="60"/>
    </row>
    <row r="264" spans="8:46" ht="20.25" customHeight="1">
      <c r="H264" s="109" t="s">
        <v>253</v>
      </c>
      <c r="I264" s="107" t="s">
        <v>29</v>
      </c>
      <c r="J264" s="232">
        <f t="shared" ref="J264:J268" si="243">SUMIF($L$19:$AO$19,1,L264:AO264)</f>
        <v>0</v>
      </c>
      <c r="K264" s="232">
        <f t="shared" ref="K264:K268" si="244">SUMIF($L$18:$AO$18,1,L264:AO264)</f>
        <v>0</v>
      </c>
      <c r="L264" s="231">
        <f t="shared" ref="L264:AO264" si="245">L180</f>
        <v>0</v>
      </c>
      <c r="M264" s="231">
        <f t="shared" si="245"/>
        <v>0</v>
      </c>
      <c r="N264" s="231">
        <f t="shared" si="245"/>
        <v>0</v>
      </c>
      <c r="O264" s="231">
        <f t="shared" si="245"/>
        <v>0</v>
      </c>
      <c r="P264" s="231">
        <f t="shared" si="245"/>
        <v>0</v>
      </c>
      <c r="Q264" s="231">
        <f t="shared" si="245"/>
        <v>0</v>
      </c>
      <c r="R264" s="231">
        <f t="shared" si="245"/>
        <v>0</v>
      </c>
      <c r="S264" s="231">
        <f t="shared" si="245"/>
        <v>0</v>
      </c>
      <c r="T264" s="231">
        <f t="shared" si="245"/>
        <v>0</v>
      </c>
      <c r="U264" s="231">
        <f t="shared" si="245"/>
        <v>0</v>
      </c>
      <c r="V264" s="231">
        <f t="shared" si="245"/>
        <v>0</v>
      </c>
      <c r="W264" s="231">
        <f t="shared" si="245"/>
        <v>0</v>
      </c>
      <c r="X264" s="231">
        <f t="shared" si="245"/>
        <v>0</v>
      </c>
      <c r="Y264" s="231">
        <f t="shared" si="245"/>
        <v>0</v>
      </c>
      <c r="Z264" s="231">
        <f t="shared" si="245"/>
        <v>0</v>
      </c>
      <c r="AA264" s="231">
        <f t="shared" si="245"/>
        <v>0</v>
      </c>
      <c r="AB264" s="231">
        <f t="shared" si="245"/>
        <v>0</v>
      </c>
      <c r="AC264" s="231">
        <f t="shared" si="245"/>
        <v>0</v>
      </c>
      <c r="AD264" s="231">
        <f t="shared" si="245"/>
        <v>0</v>
      </c>
      <c r="AE264" s="231">
        <f t="shared" si="245"/>
        <v>0</v>
      </c>
      <c r="AF264" s="231">
        <f t="shared" si="245"/>
        <v>0</v>
      </c>
      <c r="AG264" s="231">
        <f t="shared" si="245"/>
        <v>0</v>
      </c>
      <c r="AH264" s="231">
        <f t="shared" si="245"/>
        <v>0</v>
      </c>
      <c r="AI264" s="231">
        <f t="shared" si="245"/>
        <v>0</v>
      </c>
      <c r="AJ264" s="231">
        <f t="shared" si="245"/>
        <v>0</v>
      </c>
      <c r="AK264" s="231">
        <f t="shared" si="245"/>
        <v>0</v>
      </c>
      <c r="AL264" s="231">
        <f t="shared" si="245"/>
        <v>0</v>
      </c>
      <c r="AM264" s="231">
        <f t="shared" si="245"/>
        <v>0</v>
      </c>
      <c r="AN264" s="231">
        <f t="shared" si="245"/>
        <v>0</v>
      </c>
      <c r="AO264" s="231">
        <f t="shared" si="245"/>
        <v>0</v>
      </c>
      <c r="AP264" s="60"/>
      <c r="AQ264" s="60"/>
      <c r="AR264" s="60"/>
      <c r="AS264" s="60"/>
      <c r="AT264" s="60"/>
    </row>
    <row r="265" spans="8:46" ht="20.25" customHeight="1">
      <c r="H265" s="105" t="s">
        <v>254</v>
      </c>
      <c r="I265" s="107" t="s">
        <v>29</v>
      </c>
      <c r="J265" s="232">
        <f t="shared" si="243"/>
        <v>0</v>
      </c>
      <c r="K265" s="232">
        <f t="shared" si="244"/>
        <v>0</v>
      </c>
      <c r="L265" s="231">
        <f t="shared" ref="L265:AO265" si="246">L181</f>
        <v>0</v>
      </c>
      <c r="M265" s="231">
        <f t="shared" si="246"/>
        <v>0</v>
      </c>
      <c r="N265" s="231">
        <f t="shared" si="246"/>
        <v>0</v>
      </c>
      <c r="O265" s="231">
        <f t="shared" si="246"/>
        <v>0</v>
      </c>
      <c r="P265" s="231">
        <f t="shared" si="246"/>
        <v>0</v>
      </c>
      <c r="Q265" s="231">
        <f t="shared" si="246"/>
        <v>0</v>
      </c>
      <c r="R265" s="231">
        <f t="shared" si="246"/>
        <v>0</v>
      </c>
      <c r="S265" s="231">
        <f t="shared" si="246"/>
        <v>0</v>
      </c>
      <c r="T265" s="231">
        <f t="shared" si="246"/>
        <v>0</v>
      </c>
      <c r="U265" s="231">
        <f t="shared" si="246"/>
        <v>0</v>
      </c>
      <c r="V265" s="231">
        <f t="shared" si="246"/>
        <v>0</v>
      </c>
      <c r="W265" s="231">
        <f t="shared" si="246"/>
        <v>0</v>
      </c>
      <c r="X265" s="231">
        <f t="shared" si="246"/>
        <v>0</v>
      </c>
      <c r="Y265" s="231">
        <f t="shared" si="246"/>
        <v>0</v>
      </c>
      <c r="Z265" s="231">
        <f t="shared" si="246"/>
        <v>0</v>
      </c>
      <c r="AA265" s="231">
        <f t="shared" si="246"/>
        <v>0</v>
      </c>
      <c r="AB265" s="231">
        <f t="shared" si="246"/>
        <v>0</v>
      </c>
      <c r="AC265" s="231">
        <f t="shared" si="246"/>
        <v>0</v>
      </c>
      <c r="AD265" s="231">
        <f t="shared" si="246"/>
        <v>0</v>
      </c>
      <c r="AE265" s="231">
        <f t="shared" si="246"/>
        <v>0</v>
      </c>
      <c r="AF265" s="231">
        <f t="shared" si="246"/>
        <v>0</v>
      </c>
      <c r="AG265" s="231">
        <f t="shared" si="246"/>
        <v>0</v>
      </c>
      <c r="AH265" s="231">
        <f t="shared" si="246"/>
        <v>0</v>
      </c>
      <c r="AI265" s="231">
        <f t="shared" si="246"/>
        <v>0</v>
      </c>
      <c r="AJ265" s="231">
        <f t="shared" si="246"/>
        <v>0</v>
      </c>
      <c r="AK265" s="231">
        <f t="shared" si="246"/>
        <v>0</v>
      </c>
      <c r="AL265" s="231">
        <f t="shared" si="246"/>
        <v>0</v>
      </c>
      <c r="AM265" s="231">
        <f t="shared" si="246"/>
        <v>0</v>
      </c>
      <c r="AN265" s="231">
        <f t="shared" si="246"/>
        <v>0</v>
      </c>
      <c r="AO265" s="231">
        <f t="shared" si="246"/>
        <v>0</v>
      </c>
      <c r="AP265" s="60"/>
      <c r="AQ265" s="60"/>
      <c r="AR265" s="60"/>
      <c r="AS265" s="60"/>
      <c r="AT265" s="60"/>
    </row>
    <row r="266" spans="8:46" ht="20.25" customHeight="1">
      <c r="H266" s="105" t="s">
        <v>255</v>
      </c>
      <c r="I266" s="107" t="s">
        <v>29</v>
      </c>
      <c r="J266" s="232">
        <f t="shared" si="243"/>
        <v>0</v>
      </c>
      <c r="K266" s="232">
        <f t="shared" si="244"/>
        <v>0</v>
      </c>
      <c r="L266" s="231">
        <f t="shared" ref="L266:AO266" si="247">L182</f>
        <v>0</v>
      </c>
      <c r="M266" s="231">
        <f t="shared" si="247"/>
        <v>0</v>
      </c>
      <c r="N266" s="231">
        <f t="shared" si="247"/>
        <v>0</v>
      </c>
      <c r="O266" s="231">
        <f t="shared" si="247"/>
        <v>0</v>
      </c>
      <c r="P266" s="231">
        <f t="shared" si="247"/>
        <v>0</v>
      </c>
      <c r="Q266" s="231">
        <f t="shared" si="247"/>
        <v>0</v>
      </c>
      <c r="R266" s="231">
        <f t="shared" si="247"/>
        <v>0</v>
      </c>
      <c r="S266" s="231">
        <f t="shared" si="247"/>
        <v>0</v>
      </c>
      <c r="T266" s="231">
        <f t="shared" si="247"/>
        <v>0</v>
      </c>
      <c r="U266" s="231">
        <f t="shared" si="247"/>
        <v>0</v>
      </c>
      <c r="V266" s="231">
        <f t="shared" si="247"/>
        <v>0</v>
      </c>
      <c r="W266" s="231">
        <f t="shared" si="247"/>
        <v>0</v>
      </c>
      <c r="X266" s="231">
        <f t="shared" si="247"/>
        <v>0</v>
      </c>
      <c r="Y266" s="231">
        <f t="shared" si="247"/>
        <v>0</v>
      </c>
      <c r="Z266" s="231">
        <f t="shared" si="247"/>
        <v>0</v>
      </c>
      <c r="AA266" s="231">
        <f t="shared" si="247"/>
        <v>0</v>
      </c>
      <c r="AB266" s="231">
        <f t="shared" si="247"/>
        <v>0</v>
      </c>
      <c r="AC266" s="231">
        <f t="shared" si="247"/>
        <v>0</v>
      </c>
      <c r="AD266" s="231">
        <f t="shared" si="247"/>
        <v>0</v>
      </c>
      <c r="AE266" s="231">
        <f t="shared" si="247"/>
        <v>0</v>
      </c>
      <c r="AF266" s="231">
        <f t="shared" si="247"/>
        <v>0</v>
      </c>
      <c r="AG266" s="231">
        <f t="shared" si="247"/>
        <v>0</v>
      </c>
      <c r="AH266" s="231">
        <f t="shared" si="247"/>
        <v>0</v>
      </c>
      <c r="AI266" s="231">
        <f t="shared" si="247"/>
        <v>0</v>
      </c>
      <c r="AJ266" s="231">
        <f t="shared" si="247"/>
        <v>0</v>
      </c>
      <c r="AK266" s="231">
        <f t="shared" si="247"/>
        <v>0</v>
      </c>
      <c r="AL266" s="231">
        <f t="shared" si="247"/>
        <v>0</v>
      </c>
      <c r="AM266" s="231">
        <f t="shared" si="247"/>
        <v>0</v>
      </c>
      <c r="AN266" s="231">
        <f t="shared" si="247"/>
        <v>0</v>
      </c>
      <c r="AO266" s="231">
        <f t="shared" si="247"/>
        <v>0</v>
      </c>
      <c r="AP266" s="60"/>
      <c r="AQ266" s="60"/>
      <c r="AR266" s="60"/>
      <c r="AS266" s="60"/>
      <c r="AT266" s="60"/>
    </row>
    <row r="267" spans="8:46" ht="20.25" customHeight="1">
      <c r="H267" s="105" t="s">
        <v>256</v>
      </c>
      <c r="I267" s="107" t="s">
        <v>29</v>
      </c>
      <c r="J267" s="232">
        <f t="shared" si="243"/>
        <v>0</v>
      </c>
      <c r="K267" s="232">
        <f t="shared" si="244"/>
        <v>0</v>
      </c>
      <c r="L267" s="231">
        <f t="shared" ref="L267:AO267" si="248">L183</f>
        <v>0</v>
      </c>
      <c r="M267" s="231">
        <f t="shared" si="248"/>
        <v>0</v>
      </c>
      <c r="N267" s="231">
        <f t="shared" si="248"/>
        <v>0</v>
      </c>
      <c r="O267" s="231">
        <f t="shared" si="248"/>
        <v>0</v>
      </c>
      <c r="P267" s="231">
        <f t="shared" si="248"/>
        <v>0</v>
      </c>
      <c r="Q267" s="231">
        <f t="shared" si="248"/>
        <v>0</v>
      </c>
      <c r="R267" s="231">
        <f t="shared" si="248"/>
        <v>0</v>
      </c>
      <c r="S267" s="231">
        <f t="shared" si="248"/>
        <v>0</v>
      </c>
      <c r="T267" s="231">
        <f t="shared" si="248"/>
        <v>0</v>
      </c>
      <c r="U267" s="231">
        <f t="shared" si="248"/>
        <v>0</v>
      </c>
      <c r="V267" s="231">
        <f t="shared" si="248"/>
        <v>0</v>
      </c>
      <c r="W267" s="231">
        <f t="shared" si="248"/>
        <v>0</v>
      </c>
      <c r="X267" s="231">
        <f t="shared" si="248"/>
        <v>0</v>
      </c>
      <c r="Y267" s="231">
        <f t="shared" si="248"/>
        <v>0</v>
      </c>
      <c r="Z267" s="231">
        <f t="shared" si="248"/>
        <v>0</v>
      </c>
      <c r="AA267" s="231">
        <f t="shared" si="248"/>
        <v>0</v>
      </c>
      <c r="AB267" s="231">
        <f t="shared" si="248"/>
        <v>0</v>
      </c>
      <c r="AC267" s="231">
        <f t="shared" si="248"/>
        <v>0</v>
      </c>
      <c r="AD267" s="231">
        <f t="shared" si="248"/>
        <v>0</v>
      </c>
      <c r="AE267" s="231">
        <f t="shared" si="248"/>
        <v>0</v>
      </c>
      <c r="AF267" s="231">
        <f t="shared" si="248"/>
        <v>0</v>
      </c>
      <c r="AG267" s="231">
        <f t="shared" si="248"/>
        <v>0</v>
      </c>
      <c r="AH267" s="231">
        <f t="shared" si="248"/>
        <v>0</v>
      </c>
      <c r="AI267" s="231">
        <f t="shared" si="248"/>
        <v>0</v>
      </c>
      <c r="AJ267" s="231">
        <f t="shared" si="248"/>
        <v>0</v>
      </c>
      <c r="AK267" s="231">
        <f t="shared" si="248"/>
        <v>0</v>
      </c>
      <c r="AL267" s="231">
        <f t="shared" si="248"/>
        <v>0</v>
      </c>
      <c r="AM267" s="231">
        <f t="shared" si="248"/>
        <v>0</v>
      </c>
      <c r="AN267" s="231">
        <f t="shared" si="248"/>
        <v>0</v>
      </c>
      <c r="AO267" s="231">
        <f t="shared" si="248"/>
        <v>0</v>
      </c>
      <c r="AP267" s="60"/>
      <c r="AQ267" s="60"/>
      <c r="AR267" s="60"/>
      <c r="AS267" s="60"/>
      <c r="AT267" s="60"/>
    </row>
    <row r="268" spans="8:46" ht="20.25" customHeight="1">
      <c r="H268" s="105" t="s">
        <v>68</v>
      </c>
      <c r="I268" s="107" t="s">
        <v>29</v>
      </c>
      <c r="J268" s="232">
        <f t="shared" si="243"/>
        <v>0</v>
      </c>
      <c r="K268" s="232">
        <f t="shared" si="244"/>
        <v>0</v>
      </c>
      <c r="L268" s="231">
        <f t="shared" ref="L268:AO268" si="249">L184</f>
        <v>0</v>
      </c>
      <c r="M268" s="231">
        <f t="shared" si="249"/>
        <v>0</v>
      </c>
      <c r="N268" s="231">
        <f t="shared" si="249"/>
        <v>0</v>
      </c>
      <c r="O268" s="231">
        <f t="shared" si="249"/>
        <v>0</v>
      </c>
      <c r="P268" s="231">
        <f t="shared" si="249"/>
        <v>0</v>
      </c>
      <c r="Q268" s="231">
        <f t="shared" si="249"/>
        <v>0</v>
      </c>
      <c r="R268" s="231">
        <f t="shared" si="249"/>
        <v>0</v>
      </c>
      <c r="S268" s="231">
        <f t="shared" si="249"/>
        <v>0</v>
      </c>
      <c r="T268" s="231">
        <f t="shared" si="249"/>
        <v>0</v>
      </c>
      <c r="U268" s="231">
        <f t="shared" si="249"/>
        <v>0</v>
      </c>
      <c r="V268" s="231">
        <f t="shared" si="249"/>
        <v>0</v>
      </c>
      <c r="W268" s="231">
        <f t="shared" si="249"/>
        <v>0</v>
      </c>
      <c r="X268" s="231">
        <f t="shared" si="249"/>
        <v>0</v>
      </c>
      <c r="Y268" s="231">
        <f t="shared" si="249"/>
        <v>0</v>
      </c>
      <c r="Z268" s="231">
        <f t="shared" si="249"/>
        <v>0</v>
      </c>
      <c r="AA268" s="231">
        <f t="shared" si="249"/>
        <v>0</v>
      </c>
      <c r="AB268" s="231">
        <f t="shared" si="249"/>
        <v>0</v>
      </c>
      <c r="AC268" s="231">
        <f t="shared" si="249"/>
        <v>0</v>
      </c>
      <c r="AD268" s="231">
        <f t="shared" si="249"/>
        <v>0</v>
      </c>
      <c r="AE268" s="231">
        <f t="shared" si="249"/>
        <v>0</v>
      </c>
      <c r="AF268" s="231">
        <f t="shared" si="249"/>
        <v>0</v>
      </c>
      <c r="AG268" s="231">
        <f t="shared" si="249"/>
        <v>0</v>
      </c>
      <c r="AH268" s="231">
        <f t="shared" si="249"/>
        <v>0</v>
      </c>
      <c r="AI268" s="231">
        <f t="shared" si="249"/>
        <v>0</v>
      </c>
      <c r="AJ268" s="231">
        <f t="shared" si="249"/>
        <v>0</v>
      </c>
      <c r="AK268" s="231">
        <f t="shared" si="249"/>
        <v>0</v>
      </c>
      <c r="AL268" s="231">
        <f t="shared" si="249"/>
        <v>0</v>
      </c>
      <c r="AM268" s="231">
        <f t="shared" si="249"/>
        <v>0</v>
      </c>
      <c r="AN268" s="231">
        <f t="shared" si="249"/>
        <v>0</v>
      </c>
      <c r="AO268" s="231">
        <f t="shared" si="249"/>
        <v>0</v>
      </c>
      <c r="AP268" s="60"/>
      <c r="AQ268" s="60"/>
      <c r="AR268" s="60"/>
      <c r="AS268" s="60"/>
      <c r="AT268" s="60"/>
    </row>
    <row r="269" spans="8:46" ht="20.25" customHeight="1">
      <c r="H269" s="120" t="s">
        <v>71</v>
      </c>
      <c r="I269" s="121" t="s">
        <v>29</v>
      </c>
      <c r="J269" s="225">
        <f>SUM(J264:J268)</f>
        <v>0</v>
      </c>
      <c r="K269" s="225">
        <f t="shared" ref="K269:AO269" si="250">SUM(K264:K268)</f>
        <v>0</v>
      </c>
      <c r="L269" s="225">
        <f t="shared" si="250"/>
        <v>0</v>
      </c>
      <c r="M269" s="225">
        <f t="shared" si="250"/>
        <v>0</v>
      </c>
      <c r="N269" s="225">
        <f t="shared" si="250"/>
        <v>0</v>
      </c>
      <c r="O269" s="225">
        <f t="shared" si="250"/>
        <v>0</v>
      </c>
      <c r="P269" s="225">
        <f t="shared" si="250"/>
        <v>0</v>
      </c>
      <c r="Q269" s="225">
        <f t="shared" si="250"/>
        <v>0</v>
      </c>
      <c r="R269" s="225">
        <f t="shared" si="250"/>
        <v>0</v>
      </c>
      <c r="S269" s="225">
        <f t="shared" si="250"/>
        <v>0</v>
      </c>
      <c r="T269" s="225">
        <f t="shared" si="250"/>
        <v>0</v>
      </c>
      <c r="U269" s="225">
        <f t="shared" si="250"/>
        <v>0</v>
      </c>
      <c r="V269" s="225">
        <f t="shared" si="250"/>
        <v>0</v>
      </c>
      <c r="W269" s="225">
        <f t="shared" si="250"/>
        <v>0</v>
      </c>
      <c r="X269" s="225">
        <f t="shared" si="250"/>
        <v>0</v>
      </c>
      <c r="Y269" s="225">
        <f t="shared" si="250"/>
        <v>0</v>
      </c>
      <c r="Z269" s="225">
        <f t="shared" si="250"/>
        <v>0</v>
      </c>
      <c r="AA269" s="225">
        <f t="shared" si="250"/>
        <v>0</v>
      </c>
      <c r="AB269" s="225">
        <f t="shared" si="250"/>
        <v>0</v>
      </c>
      <c r="AC269" s="225">
        <f t="shared" si="250"/>
        <v>0</v>
      </c>
      <c r="AD269" s="225">
        <f t="shared" si="250"/>
        <v>0</v>
      </c>
      <c r="AE269" s="225">
        <f t="shared" si="250"/>
        <v>0</v>
      </c>
      <c r="AF269" s="225">
        <f t="shared" si="250"/>
        <v>0</v>
      </c>
      <c r="AG269" s="225">
        <f t="shared" si="250"/>
        <v>0</v>
      </c>
      <c r="AH269" s="225">
        <f t="shared" si="250"/>
        <v>0</v>
      </c>
      <c r="AI269" s="225">
        <f t="shared" si="250"/>
        <v>0</v>
      </c>
      <c r="AJ269" s="225">
        <f t="shared" si="250"/>
        <v>0</v>
      </c>
      <c r="AK269" s="225">
        <f t="shared" si="250"/>
        <v>0</v>
      </c>
      <c r="AL269" s="225">
        <f t="shared" si="250"/>
        <v>0</v>
      </c>
      <c r="AM269" s="225">
        <f t="shared" si="250"/>
        <v>0</v>
      </c>
      <c r="AN269" s="225">
        <f t="shared" si="250"/>
        <v>0</v>
      </c>
      <c r="AO269" s="225">
        <f t="shared" si="250"/>
        <v>0</v>
      </c>
      <c r="AP269" s="60"/>
      <c r="AQ269" s="60"/>
      <c r="AR269" s="60"/>
      <c r="AS269" s="60"/>
      <c r="AT269" s="60"/>
    </row>
    <row r="270" spans="8:46" ht="20.25" customHeight="1">
      <c r="H270" s="60"/>
      <c r="I270" s="60"/>
      <c r="J270" s="230"/>
      <c r="K270" s="230"/>
      <c r="L270" s="230"/>
      <c r="M270" s="230"/>
      <c r="N270" s="230"/>
      <c r="O270" s="230"/>
      <c r="P270" s="230"/>
      <c r="Q270" s="230"/>
      <c r="R270" s="230"/>
      <c r="S270" s="230"/>
      <c r="T270" s="230"/>
      <c r="U270" s="230"/>
      <c r="V270" s="230"/>
      <c r="W270" s="230"/>
      <c r="X270" s="230"/>
      <c r="Y270" s="230"/>
      <c r="Z270" s="230"/>
      <c r="AA270" s="230"/>
      <c r="AB270" s="230"/>
      <c r="AC270" s="230"/>
      <c r="AD270" s="230"/>
      <c r="AE270" s="230"/>
      <c r="AF270" s="230"/>
      <c r="AG270" s="230"/>
      <c r="AH270" s="230"/>
      <c r="AI270" s="230"/>
      <c r="AJ270" s="230"/>
      <c r="AK270" s="230"/>
      <c r="AL270" s="230"/>
      <c r="AM270" s="230"/>
      <c r="AN270" s="230"/>
      <c r="AO270" s="230"/>
      <c r="AP270" s="60"/>
      <c r="AQ270" s="60"/>
      <c r="AR270" s="60"/>
      <c r="AS270" s="60"/>
      <c r="AT270" s="60"/>
    </row>
    <row r="271" spans="8:46" ht="20.25" customHeight="1">
      <c r="H271" s="113" t="s">
        <v>77</v>
      </c>
      <c r="I271" s="114"/>
      <c r="J271" s="234"/>
      <c r="K271" s="235"/>
      <c r="L271" s="235"/>
      <c r="M271" s="235"/>
      <c r="N271" s="235"/>
      <c r="O271" s="235"/>
      <c r="P271" s="235"/>
      <c r="Q271" s="235"/>
      <c r="R271" s="235"/>
      <c r="S271" s="235"/>
      <c r="T271" s="235"/>
      <c r="U271" s="235"/>
      <c r="V271" s="235"/>
      <c r="W271" s="235"/>
      <c r="X271" s="235"/>
      <c r="Y271" s="235"/>
      <c r="Z271" s="235"/>
      <c r="AA271" s="235"/>
      <c r="AB271" s="235"/>
      <c r="AC271" s="235"/>
      <c r="AD271" s="235"/>
      <c r="AE271" s="235"/>
      <c r="AF271" s="235"/>
      <c r="AG271" s="235"/>
      <c r="AH271" s="235"/>
      <c r="AI271" s="235"/>
      <c r="AJ271" s="235"/>
      <c r="AK271" s="235"/>
      <c r="AL271" s="235"/>
      <c r="AM271" s="235"/>
      <c r="AN271" s="235"/>
      <c r="AO271" s="235"/>
      <c r="AP271" s="59"/>
      <c r="AQ271" s="59"/>
      <c r="AR271" s="59"/>
      <c r="AS271" s="60"/>
      <c r="AT271" s="60"/>
    </row>
    <row r="272" spans="8:46" ht="20.25" customHeight="1">
      <c r="H272" s="105" t="s">
        <v>242</v>
      </c>
      <c r="I272" s="107" t="s">
        <v>29</v>
      </c>
      <c r="J272" s="232">
        <f t="shared" ref="J272:J275" si="251">SUMIF($L$19:$AO$19,1,L272:AO272)</f>
        <v>-30000</v>
      </c>
      <c r="K272" s="232">
        <f t="shared" ref="K272:K275" si="252">SUMIF($L$18:$AO$18,1,L272:AO272)</f>
        <v>-30000</v>
      </c>
      <c r="L272" s="231">
        <f t="shared" ref="L272:AO272" si="253">L132+L189</f>
        <v>-9854.82</v>
      </c>
      <c r="M272" s="231">
        <f t="shared" si="253"/>
        <v>-13963.43</v>
      </c>
      <c r="N272" s="231">
        <f t="shared" si="253"/>
        <v>-5742.57</v>
      </c>
      <c r="O272" s="231">
        <f t="shared" si="253"/>
        <v>-439.18</v>
      </c>
      <c r="P272" s="231">
        <f t="shared" si="253"/>
        <v>0</v>
      </c>
      <c r="Q272" s="231">
        <f t="shared" si="253"/>
        <v>0</v>
      </c>
      <c r="R272" s="231">
        <f t="shared" si="253"/>
        <v>0</v>
      </c>
      <c r="S272" s="231">
        <f t="shared" si="253"/>
        <v>0</v>
      </c>
      <c r="T272" s="231">
        <f t="shared" si="253"/>
        <v>0</v>
      </c>
      <c r="U272" s="231">
        <f t="shared" si="253"/>
        <v>0</v>
      </c>
      <c r="V272" s="231">
        <f t="shared" si="253"/>
        <v>0</v>
      </c>
      <c r="W272" s="231">
        <f t="shared" si="253"/>
        <v>0</v>
      </c>
      <c r="X272" s="231">
        <f t="shared" si="253"/>
        <v>0</v>
      </c>
      <c r="Y272" s="231">
        <f t="shared" si="253"/>
        <v>0</v>
      </c>
      <c r="Z272" s="231">
        <f t="shared" si="253"/>
        <v>0</v>
      </c>
      <c r="AA272" s="231">
        <f t="shared" si="253"/>
        <v>0</v>
      </c>
      <c r="AB272" s="231">
        <f t="shared" si="253"/>
        <v>0</v>
      </c>
      <c r="AC272" s="231">
        <f t="shared" si="253"/>
        <v>0</v>
      </c>
      <c r="AD272" s="231">
        <f t="shared" si="253"/>
        <v>0</v>
      </c>
      <c r="AE272" s="231">
        <f t="shared" si="253"/>
        <v>0</v>
      </c>
      <c r="AF272" s="231">
        <f t="shared" si="253"/>
        <v>0</v>
      </c>
      <c r="AG272" s="231">
        <f t="shared" si="253"/>
        <v>0</v>
      </c>
      <c r="AH272" s="231">
        <f t="shared" si="253"/>
        <v>0</v>
      </c>
      <c r="AI272" s="231">
        <f t="shared" si="253"/>
        <v>0</v>
      </c>
      <c r="AJ272" s="231">
        <f t="shared" si="253"/>
        <v>0</v>
      </c>
      <c r="AK272" s="231">
        <f t="shared" si="253"/>
        <v>0</v>
      </c>
      <c r="AL272" s="231">
        <f t="shared" si="253"/>
        <v>0</v>
      </c>
      <c r="AM272" s="231">
        <f t="shared" si="253"/>
        <v>0</v>
      </c>
      <c r="AN272" s="231">
        <f t="shared" si="253"/>
        <v>0</v>
      </c>
      <c r="AO272" s="231">
        <f t="shared" si="253"/>
        <v>0</v>
      </c>
      <c r="AP272" s="60"/>
      <c r="AQ272" s="60"/>
      <c r="AR272" s="60"/>
      <c r="AS272" s="60"/>
      <c r="AT272" s="60"/>
    </row>
    <row r="273" spans="8:46" ht="20.25" customHeight="1">
      <c r="H273" s="105" t="s">
        <v>258</v>
      </c>
      <c r="I273" s="107" t="s">
        <v>29</v>
      </c>
      <c r="J273" s="232">
        <f t="shared" si="251"/>
        <v>0</v>
      </c>
      <c r="K273" s="232">
        <f t="shared" si="252"/>
        <v>0</v>
      </c>
      <c r="L273" s="231">
        <f t="shared" ref="L273:AO273" si="254">L190</f>
        <v>0</v>
      </c>
      <c r="M273" s="231">
        <f t="shared" si="254"/>
        <v>0</v>
      </c>
      <c r="N273" s="231">
        <f t="shared" si="254"/>
        <v>0</v>
      </c>
      <c r="O273" s="231">
        <f t="shared" si="254"/>
        <v>0</v>
      </c>
      <c r="P273" s="231">
        <f t="shared" si="254"/>
        <v>0</v>
      </c>
      <c r="Q273" s="231">
        <f t="shared" si="254"/>
        <v>0</v>
      </c>
      <c r="R273" s="231">
        <f t="shared" si="254"/>
        <v>0</v>
      </c>
      <c r="S273" s="231">
        <f t="shared" si="254"/>
        <v>0</v>
      </c>
      <c r="T273" s="231">
        <f t="shared" si="254"/>
        <v>0</v>
      </c>
      <c r="U273" s="231">
        <f t="shared" si="254"/>
        <v>0</v>
      </c>
      <c r="V273" s="231">
        <f t="shared" si="254"/>
        <v>0</v>
      </c>
      <c r="W273" s="231">
        <f t="shared" si="254"/>
        <v>0</v>
      </c>
      <c r="X273" s="231">
        <f t="shared" si="254"/>
        <v>0</v>
      </c>
      <c r="Y273" s="231">
        <f t="shared" si="254"/>
        <v>0</v>
      </c>
      <c r="Z273" s="231">
        <f t="shared" si="254"/>
        <v>0</v>
      </c>
      <c r="AA273" s="231">
        <f t="shared" si="254"/>
        <v>0</v>
      </c>
      <c r="AB273" s="231">
        <f t="shared" si="254"/>
        <v>0</v>
      </c>
      <c r="AC273" s="231">
        <f t="shared" si="254"/>
        <v>0</v>
      </c>
      <c r="AD273" s="231">
        <f t="shared" si="254"/>
        <v>0</v>
      </c>
      <c r="AE273" s="231">
        <f t="shared" si="254"/>
        <v>0</v>
      </c>
      <c r="AF273" s="231">
        <f t="shared" si="254"/>
        <v>0</v>
      </c>
      <c r="AG273" s="231">
        <f t="shared" si="254"/>
        <v>0</v>
      </c>
      <c r="AH273" s="231">
        <f t="shared" si="254"/>
        <v>0</v>
      </c>
      <c r="AI273" s="231">
        <f t="shared" si="254"/>
        <v>0</v>
      </c>
      <c r="AJ273" s="231">
        <f t="shared" si="254"/>
        <v>0</v>
      </c>
      <c r="AK273" s="231">
        <f t="shared" si="254"/>
        <v>0</v>
      </c>
      <c r="AL273" s="231">
        <f t="shared" si="254"/>
        <v>0</v>
      </c>
      <c r="AM273" s="231">
        <f t="shared" si="254"/>
        <v>0</v>
      </c>
      <c r="AN273" s="231">
        <f t="shared" si="254"/>
        <v>0</v>
      </c>
      <c r="AO273" s="231">
        <f t="shared" si="254"/>
        <v>0</v>
      </c>
      <c r="AP273" s="60"/>
      <c r="AQ273" s="60"/>
      <c r="AR273" s="60"/>
      <c r="AS273" s="60"/>
      <c r="AT273" s="60"/>
    </row>
    <row r="274" spans="8:46" ht="20.25" customHeight="1">
      <c r="H274" s="105" t="s">
        <v>259</v>
      </c>
      <c r="I274" s="107" t="s">
        <v>29</v>
      </c>
      <c r="J274" s="232">
        <f t="shared" si="251"/>
        <v>0</v>
      </c>
      <c r="K274" s="232">
        <f t="shared" si="252"/>
        <v>0</v>
      </c>
      <c r="L274" s="231">
        <f t="shared" ref="L274:AO274" si="255">L191</f>
        <v>0</v>
      </c>
      <c r="M274" s="231">
        <f t="shared" si="255"/>
        <v>0</v>
      </c>
      <c r="N274" s="231">
        <f t="shared" si="255"/>
        <v>0</v>
      </c>
      <c r="O274" s="231">
        <f t="shared" si="255"/>
        <v>0</v>
      </c>
      <c r="P274" s="231">
        <f t="shared" si="255"/>
        <v>0</v>
      </c>
      <c r="Q274" s="231">
        <f t="shared" si="255"/>
        <v>0</v>
      </c>
      <c r="R274" s="231">
        <f t="shared" si="255"/>
        <v>0</v>
      </c>
      <c r="S274" s="231">
        <f t="shared" si="255"/>
        <v>0</v>
      </c>
      <c r="T274" s="231">
        <f t="shared" si="255"/>
        <v>0</v>
      </c>
      <c r="U274" s="231">
        <f t="shared" si="255"/>
        <v>0</v>
      </c>
      <c r="V274" s="231">
        <f t="shared" si="255"/>
        <v>0</v>
      </c>
      <c r="W274" s="231">
        <f t="shared" si="255"/>
        <v>0</v>
      </c>
      <c r="X274" s="231">
        <f t="shared" si="255"/>
        <v>0</v>
      </c>
      <c r="Y274" s="231">
        <f t="shared" si="255"/>
        <v>0</v>
      </c>
      <c r="Z274" s="231">
        <f t="shared" si="255"/>
        <v>0</v>
      </c>
      <c r="AA274" s="231">
        <f t="shared" si="255"/>
        <v>0</v>
      </c>
      <c r="AB274" s="231">
        <f t="shared" si="255"/>
        <v>0</v>
      </c>
      <c r="AC274" s="231">
        <f t="shared" si="255"/>
        <v>0</v>
      </c>
      <c r="AD274" s="231">
        <f t="shared" si="255"/>
        <v>0</v>
      </c>
      <c r="AE274" s="231">
        <f t="shared" si="255"/>
        <v>0</v>
      </c>
      <c r="AF274" s="231">
        <f t="shared" si="255"/>
        <v>0</v>
      </c>
      <c r="AG274" s="231">
        <f t="shared" si="255"/>
        <v>0</v>
      </c>
      <c r="AH274" s="231">
        <f t="shared" si="255"/>
        <v>0</v>
      </c>
      <c r="AI274" s="231">
        <f t="shared" si="255"/>
        <v>0</v>
      </c>
      <c r="AJ274" s="231">
        <f t="shared" si="255"/>
        <v>0</v>
      </c>
      <c r="AK274" s="231">
        <f t="shared" si="255"/>
        <v>0</v>
      </c>
      <c r="AL274" s="231">
        <f t="shared" si="255"/>
        <v>0</v>
      </c>
      <c r="AM274" s="231">
        <f t="shared" si="255"/>
        <v>0</v>
      </c>
      <c r="AN274" s="231">
        <f t="shared" si="255"/>
        <v>0</v>
      </c>
      <c r="AO274" s="231">
        <f t="shared" si="255"/>
        <v>0</v>
      </c>
      <c r="AP274" s="60"/>
      <c r="AQ274" s="60"/>
      <c r="AR274" s="60"/>
      <c r="AS274" s="60"/>
      <c r="AT274" s="60"/>
    </row>
    <row r="275" spans="8:46" ht="20.25" customHeight="1">
      <c r="H275" s="105" t="s">
        <v>252</v>
      </c>
      <c r="I275" s="107" t="s">
        <v>29</v>
      </c>
      <c r="J275" s="232">
        <f t="shared" si="251"/>
        <v>0</v>
      </c>
      <c r="K275" s="232">
        <f t="shared" si="252"/>
        <v>0</v>
      </c>
      <c r="L275" s="231">
        <f t="shared" ref="L275:AO275" si="256">L192</f>
        <v>0</v>
      </c>
      <c r="M275" s="231">
        <f t="shared" si="256"/>
        <v>0</v>
      </c>
      <c r="N275" s="231">
        <f t="shared" si="256"/>
        <v>0</v>
      </c>
      <c r="O275" s="231">
        <f t="shared" si="256"/>
        <v>0</v>
      </c>
      <c r="P275" s="231">
        <f t="shared" si="256"/>
        <v>0</v>
      </c>
      <c r="Q275" s="231">
        <f t="shared" si="256"/>
        <v>0</v>
      </c>
      <c r="R275" s="231">
        <f t="shared" si="256"/>
        <v>0</v>
      </c>
      <c r="S275" s="231">
        <f t="shared" si="256"/>
        <v>0</v>
      </c>
      <c r="T275" s="231">
        <f t="shared" si="256"/>
        <v>0</v>
      </c>
      <c r="U275" s="231">
        <f t="shared" si="256"/>
        <v>0</v>
      </c>
      <c r="V275" s="231">
        <f t="shared" si="256"/>
        <v>0</v>
      </c>
      <c r="W275" s="231">
        <f t="shared" si="256"/>
        <v>0</v>
      </c>
      <c r="X275" s="231">
        <f t="shared" si="256"/>
        <v>0</v>
      </c>
      <c r="Y275" s="231">
        <f t="shared" si="256"/>
        <v>0</v>
      </c>
      <c r="Z275" s="231">
        <f t="shared" si="256"/>
        <v>0</v>
      </c>
      <c r="AA275" s="231">
        <f t="shared" si="256"/>
        <v>0</v>
      </c>
      <c r="AB275" s="231">
        <f t="shared" si="256"/>
        <v>0</v>
      </c>
      <c r="AC275" s="231">
        <f t="shared" si="256"/>
        <v>0</v>
      </c>
      <c r="AD275" s="231">
        <f t="shared" si="256"/>
        <v>0</v>
      </c>
      <c r="AE275" s="231">
        <f t="shared" si="256"/>
        <v>0</v>
      </c>
      <c r="AF275" s="231">
        <f t="shared" si="256"/>
        <v>0</v>
      </c>
      <c r="AG275" s="231">
        <f t="shared" si="256"/>
        <v>0</v>
      </c>
      <c r="AH275" s="231">
        <f t="shared" si="256"/>
        <v>0</v>
      </c>
      <c r="AI275" s="231">
        <f t="shared" si="256"/>
        <v>0</v>
      </c>
      <c r="AJ275" s="231">
        <f t="shared" si="256"/>
        <v>0</v>
      </c>
      <c r="AK275" s="231">
        <f t="shared" si="256"/>
        <v>0</v>
      </c>
      <c r="AL275" s="231">
        <f t="shared" si="256"/>
        <v>0</v>
      </c>
      <c r="AM275" s="231">
        <f t="shared" si="256"/>
        <v>0</v>
      </c>
      <c r="AN275" s="231">
        <f t="shared" si="256"/>
        <v>0</v>
      </c>
      <c r="AO275" s="231">
        <f t="shared" si="256"/>
        <v>0</v>
      </c>
      <c r="AP275" s="60"/>
      <c r="AQ275" s="60"/>
      <c r="AR275" s="60"/>
      <c r="AS275" s="60"/>
      <c r="AT275" s="60"/>
    </row>
    <row r="276" spans="8:46" ht="20.25" customHeight="1">
      <c r="H276" s="120" t="s">
        <v>71</v>
      </c>
      <c r="I276" s="121" t="s">
        <v>29</v>
      </c>
      <c r="J276" s="225">
        <f>SUM(J272:J275)</f>
        <v>-30000</v>
      </c>
      <c r="K276" s="225">
        <f t="shared" ref="K276:AO276" si="257">SUM(K272:K275)</f>
        <v>-30000</v>
      </c>
      <c r="L276" s="225">
        <f t="shared" si="257"/>
        <v>-9854.82</v>
      </c>
      <c r="M276" s="225">
        <f t="shared" si="257"/>
        <v>-13963.43</v>
      </c>
      <c r="N276" s="225">
        <f t="shared" si="257"/>
        <v>-5742.57</v>
      </c>
      <c r="O276" s="225">
        <f t="shared" si="257"/>
        <v>-439.18</v>
      </c>
      <c r="P276" s="225">
        <f t="shared" si="257"/>
        <v>0</v>
      </c>
      <c r="Q276" s="225">
        <f t="shared" si="257"/>
        <v>0</v>
      </c>
      <c r="R276" s="225">
        <f t="shared" si="257"/>
        <v>0</v>
      </c>
      <c r="S276" s="225">
        <f t="shared" si="257"/>
        <v>0</v>
      </c>
      <c r="T276" s="225">
        <f t="shared" si="257"/>
        <v>0</v>
      </c>
      <c r="U276" s="225">
        <f t="shared" si="257"/>
        <v>0</v>
      </c>
      <c r="V276" s="225">
        <f t="shared" si="257"/>
        <v>0</v>
      </c>
      <c r="W276" s="225">
        <f t="shared" si="257"/>
        <v>0</v>
      </c>
      <c r="X276" s="225">
        <f t="shared" si="257"/>
        <v>0</v>
      </c>
      <c r="Y276" s="225">
        <f t="shared" si="257"/>
        <v>0</v>
      </c>
      <c r="Z276" s="225">
        <f t="shared" si="257"/>
        <v>0</v>
      </c>
      <c r="AA276" s="225">
        <f t="shared" si="257"/>
        <v>0</v>
      </c>
      <c r="AB276" s="225">
        <f t="shared" si="257"/>
        <v>0</v>
      </c>
      <c r="AC276" s="225">
        <f t="shared" si="257"/>
        <v>0</v>
      </c>
      <c r="AD276" s="225">
        <f t="shared" si="257"/>
        <v>0</v>
      </c>
      <c r="AE276" s="225">
        <f t="shared" si="257"/>
        <v>0</v>
      </c>
      <c r="AF276" s="225">
        <f t="shared" si="257"/>
        <v>0</v>
      </c>
      <c r="AG276" s="225">
        <f t="shared" si="257"/>
        <v>0</v>
      </c>
      <c r="AH276" s="225">
        <f t="shared" si="257"/>
        <v>0</v>
      </c>
      <c r="AI276" s="225">
        <f t="shared" si="257"/>
        <v>0</v>
      </c>
      <c r="AJ276" s="225">
        <f t="shared" si="257"/>
        <v>0</v>
      </c>
      <c r="AK276" s="225">
        <f t="shared" si="257"/>
        <v>0</v>
      </c>
      <c r="AL276" s="225">
        <f t="shared" si="257"/>
        <v>0</v>
      </c>
      <c r="AM276" s="225">
        <f t="shared" si="257"/>
        <v>0</v>
      </c>
      <c r="AN276" s="225">
        <f t="shared" si="257"/>
        <v>0</v>
      </c>
      <c r="AO276" s="225">
        <f t="shared" si="257"/>
        <v>0</v>
      </c>
      <c r="AP276" s="60"/>
      <c r="AQ276" s="60"/>
      <c r="AR276" s="60"/>
      <c r="AS276" s="60"/>
      <c r="AT276" s="60"/>
    </row>
    <row r="277" spans="8:46" ht="20.25" customHeight="1">
      <c r="H277" s="60"/>
      <c r="I277" s="60"/>
      <c r="J277" s="230"/>
      <c r="K277" s="230"/>
      <c r="L277" s="230"/>
      <c r="M277" s="230"/>
      <c r="N277" s="230"/>
      <c r="O277" s="230"/>
      <c r="P277" s="230"/>
      <c r="Q277" s="230"/>
      <c r="R277" s="230"/>
      <c r="S277" s="230"/>
      <c r="T277" s="230"/>
      <c r="U277" s="230"/>
      <c r="V277" s="230"/>
      <c r="W277" s="230"/>
      <c r="X277" s="230"/>
      <c r="Y277" s="230"/>
      <c r="Z277" s="230"/>
      <c r="AA277" s="230"/>
      <c r="AB277" s="230"/>
      <c r="AC277" s="230"/>
      <c r="AD277" s="230"/>
      <c r="AE277" s="230"/>
      <c r="AF277" s="230"/>
      <c r="AG277" s="230"/>
      <c r="AH277" s="230"/>
      <c r="AI277" s="230"/>
      <c r="AJ277" s="230"/>
      <c r="AK277" s="230"/>
      <c r="AL277" s="230"/>
      <c r="AM277" s="230"/>
      <c r="AN277" s="230"/>
      <c r="AO277" s="230"/>
      <c r="AP277" s="60"/>
      <c r="AQ277" s="60"/>
      <c r="AR277" s="60"/>
      <c r="AS277" s="60"/>
      <c r="AT277" s="60"/>
    </row>
    <row r="278" spans="8:46" ht="20.25" customHeight="1">
      <c r="H278" s="120" t="s">
        <v>80</v>
      </c>
      <c r="I278" s="121" t="s">
        <v>29</v>
      </c>
      <c r="J278" s="225">
        <f>J269+J276</f>
        <v>-30000</v>
      </c>
      <c r="K278" s="225">
        <f t="shared" ref="K278:AO278" si="258">K269+K276</f>
        <v>-30000</v>
      </c>
      <c r="L278" s="225">
        <f t="shared" si="258"/>
        <v>-9854.82</v>
      </c>
      <c r="M278" s="225">
        <f t="shared" si="258"/>
        <v>-13963.43</v>
      </c>
      <c r="N278" s="225">
        <f t="shared" si="258"/>
        <v>-5742.57</v>
      </c>
      <c r="O278" s="225">
        <f t="shared" si="258"/>
        <v>-439.18</v>
      </c>
      <c r="P278" s="225">
        <f t="shared" si="258"/>
        <v>0</v>
      </c>
      <c r="Q278" s="225">
        <f t="shared" si="258"/>
        <v>0</v>
      </c>
      <c r="R278" s="225">
        <f t="shared" si="258"/>
        <v>0</v>
      </c>
      <c r="S278" s="225">
        <f t="shared" si="258"/>
        <v>0</v>
      </c>
      <c r="T278" s="225">
        <f t="shared" si="258"/>
        <v>0</v>
      </c>
      <c r="U278" s="225">
        <f t="shared" si="258"/>
        <v>0</v>
      </c>
      <c r="V278" s="225">
        <f t="shared" si="258"/>
        <v>0</v>
      </c>
      <c r="W278" s="225">
        <f t="shared" si="258"/>
        <v>0</v>
      </c>
      <c r="X278" s="225">
        <f t="shared" si="258"/>
        <v>0</v>
      </c>
      <c r="Y278" s="225">
        <f t="shared" si="258"/>
        <v>0</v>
      </c>
      <c r="Z278" s="225">
        <f t="shared" si="258"/>
        <v>0</v>
      </c>
      <c r="AA278" s="225">
        <f t="shared" si="258"/>
        <v>0</v>
      </c>
      <c r="AB278" s="225">
        <f t="shared" si="258"/>
        <v>0</v>
      </c>
      <c r="AC278" s="225">
        <f t="shared" si="258"/>
        <v>0</v>
      </c>
      <c r="AD278" s="225">
        <f t="shared" si="258"/>
        <v>0</v>
      </c>
      <c r="AE278" s="225">
        <f t="shared" si="258"/>
        <v>0</v>
      </c>
      <c r="AF278" s="225">
        <f t="shared" si="258"/>
        <v>0</v>
      </c>
      <c r="AG278" s="225">
        <f t="shared" si="258"/>
        <v>0</v>
      </c>
      <c r="AH278" s="225">
        <f t="shared" si="258"/>
        <v>0</v>
      </c>
      <c r="AI278" s="225">
        <f t="shared" si="258"/>
        <v>0</v>
      </c>
      <c r="AJ278" s="225">
        <f t="shared" si="258"/>
        <v>0</v>
      </c>
      <c r="AK278" s="225">
        <f t="shared" si="258"/>
        <v>0</v>
      </c>
      <c r="AL278" s="225">
        <f t="shared" si="258"/>
        <v>0</v>
      </c>
      <c r="AM278" s="225">
        <f t="shared" si="258"/>
        <v>0</v>
      </c>
      <c r="AN278" s="225">
        <f t="shared" si="258"/>
        <v>0</v>
      </c>
      <c r="AO278" s="225">
        <f t="shared" si="258"/>
        <v>0</v>
      </c>
      <c r="AP278" s="60"/>
      <c r="AQ278" s="60"/>
      <c r="AR278" s="60"/>
      <c r="AS278" s="60"/>
      <c r="AT278" s="60"/>
    </row>
    <row r="279" spans="8:46" ht="20.25" customHeight="1">
      <c r="H279" s="60"/>
      <c r="I279" s="60"/>
      <c r="J279" s="230"/>
      <c r="K279" s="230"/>
      <c r="L279" s="230"/>
      <c r="M279" s="230"/>
      <c r="N279" s="230"/>
      <c r="O279" s="230"/>
      <c r="P279" s="230"/>
      <c r="Q279" s="230"/>
      <c r="R279" s="230"/>
      <c r="S279" s="230"/>
      <c r="T279" s="230"/>
      <c r="U279" s="230"/>
      <c r="V279" s="230"/>
      <c r="W279" s="230"/>
      <c r="X279" s="230"/>
      <c r="Y279" s="230"/>
      <c r="Z279" s="230"/>
      <c r="AA279" s="230"/>
      <c r="AB279" s="230"/>
      <c r="AC279" s="230"/>
      <c r="AD279" s="230"/>
      <c r="AE279" s="230"/>
      <c r="AF279" s="230"/>
      <c r="AG279" s="230"/>
      <c r="AH279" s="230"/>
      <c r="AI279" s="230"/>
      <c r="AJ279" s="230"/>
      <c r="AK279" s="230"/>
      <c r="AL279" s="230"/>
      <c r="AM279" s="230"/>
      <c r="AN279" s="230"/>
      <c r="AO279" s="230"/>
      <c r="AP279" s="60"/>
      <c r="AQ279" s="60"/>
      <c r="AR279" s="60"/>
      <c r="AS279" s="60"/>
      <c r="AT279" s="60"/>
    </row>
    <row r="280" spans="8:46" ht="21">
      <c r="H280" s="123" t="s">
        <v>81</v>
      </c>
      <c r="I280" s="124"/>
      <c r="J280" s="236"/>
      <c r="K280" s="236"/>
      <c r="L280" s="237"/>
      <c r="M280" s="237"/>
      <c r="N280" s="237"/>
      <c r="O280" s="237"/>
      <c r="P280" s="237"/>
      <c r="Q280" s="237"/>
      <c r="R280" s="237"/>
      <c r="S280" s="237"/>
      <c r="T280" s="237"/>
      <c r="U280" s="237"/>
      <c r="V280" s="237"/>
      <c r="W280" s="237"/>
      <c r="X280" s="237"/>
      <c r="Y280" s="237"/>
      <c r="Z280" s="237"/>
      <c r="AA280" s="237"/>
      <c r="AB280" s="237"/>
      <c r="AC280" s="237"/>
      <c r="AD280" s="237"/>
      <c r="AE280" s="237"/>
      <c r="AF280" s="237"/>
      <c r="AG280" s="237"/>
      <c r="AH280" s="237"/>
      <c r="AI280" s="237"/>
      <c r="AJ280" s="237"/>
      <c r="AK280" s="237"/>
      <c r="AL280" s="237"/>
      <c r="AM280" s="237"/>
      <c r="AN280" s="237"/>
      <c r="AO280" s="237"/>
      <c r="AP280" s="59"/>
      <c r="AQ280" s="59"/>
      <c r="AR280" s="59"/>
      <c r="AS280" s="59"/>
      <c r="AT280" s="59"/>
    </row>
    <row r="281" spans="8:46" ht="20.25" customHeight="1">
      <c r="H281" s="113" t="s">
        <v>76</v>
      </c>
      <c r="I281" s="114"/>
      <c r="J281" s="234"/>
      <c r="K281" s="235"/>
      <c r="L281" s="235"/>
      <c r="M281" s="235"/>
      <c r="N281" s="235"/>
      <c r="O281" s="235"/>
      <c r="P281" s="235"/>
      <c r="Q281" s="235"/>
      <c r="R281" s="235"/>
      <c r="S281" s="235"/>
      <c r="T281" s="235"/>
      <c r="U281" s="235"/>
      <c r="V281" s="235"/>
      <c r="W281" s="235"/>
      <c r="X281" s="235"/>
      <c r="Y281" s="235"/>
      <c r="Z281" s="235"/>
      <c r="AA281" s="235"/>
      <c r="AB281" s="235"/>
      <c r="AC281" s="235"/>
      <c r="AD281" s="235"/>
      <c r="AE281" s="235"/>
      <c r="AF281" s="235"/>
      <c r="AG281" s="235"/>
      <c r="AH281" s="235"/>
      <c r="AI281" s="235"/>
      <c r="AJ281" s="235"/>
      <c r="AK281" s="235"/>
      <c r="AL281" s="235"/>
      <c r="AM281" s="235"/>
      <c r="AN281" s="235"/>
      <c r="AO281" s="235"/>
      <c r="AP281" s="59"/>
      <c r="AQ281" s="59"/>
      <c r="AR281" s="59"/>
      <c r="AS281" s="60"/>
      <c r="AT281" s="60"/>
    </row>
    <row r="282" spans="8:46" ht="20.25" customHeight="1">
      <c r="H282" s="105" t="s">
        <v>243</v>
      </c>
      <c r="I282" s="107" t="s">
        <v>29</v>
      </c>
      <c r="J282" s="232">
        <f t="shared" ref="J282:J286" si="259">SUMIF($L$19:$AO$19,1,L282:AO282)</f>
        <v>5000</v>
      </c>
      <c r="K282" s="232">
        <f t="shared" ref="K282:K286" si="260">SUMIF($L$18:$AO$18,1,L282:AO282)</f>
        <v>5000</v>
      </c>
      <c r="L282" s="231">
        <f t="shared" ref="L282:AO282" si="261">L139+L199</f>
        <v>5000</v>
      </c>
      <c r="M282" s="231">
        <f t="shared" si="261"/>
        <v>0</v>
      </c>
      <c r="N282" s="231">
        <f t="shared" si="261"/>
        <v>0</v>
      </c>
      <c r="O282" s="231">
        <f t="shared" si="261"/>
        <v>0</v>
      </c>
      <c r="P282" s="231">
        <f t="shared" si="261"/>
        <v>0</v>
      </c>
      <c r="Q282" s="231">
        <f t="shared" si="261"/>
        <v>0</v>
      </c>
      <c r="R282" s="231">
        <f t="shared" si="261"/>
        <v>0</v>
      </c>
      <c r="S282" s="231">
        <f t="shared" si="261"/>
        <v>0</v>
      </c>
      <c r="T282" s="231">
        <f t="shared" si="261"/>
        <v>0</v>
      </c>
      <c r="U282" s="231">
        <f t="shared" si="261"/>
        <v>0</v>
      </c>
      <c r="V282" s="231">
        <f t="shared" si="261"/>
        <v>0</v>
      </c>
      <c r="W282" s="231">
        <f t="shared" si="261"/>
        <v>0</v>
      </c>
      <c r="X282" s="231">
        <f t="shared" si="261"/>
        <v>0</v>
      </c>
      <c r="Y282" s="231">
        <f t="shared" si="261"/>
        <v>0</v>
      </c>
      <c r="Z282" s="231">
        <f t="shared" si="261"/>
        <v>0</v>
      </c>
      <c r="AA282" s="231">
        <f t="shared" si="261"/>
        <v>0</v>
      </c>
      <c r="AB282" s="231">
        <f t="shared" si="261"/>
        <v>0</v>
      </c>
      <c r="AC282" s="231">
        <f t="shared" si="261"/>
        <v>0</v>
      </c>
      <c r="AD282" s="231">
        <f t="shared" si="261"/>
        <v>0</v>
      </c>
      <c r="AE282" s="231">
        <f t="shared" si="261"/>
        <v>0</v>
      </c>
      <c r="AF282" s="231">
        <f t="shared" si="261"/>
        <v>0</v>
      </c>
      <c r="AG282" s="231">
        <f t="shared" si="261"/>
        <v>0</v>
      </c>
      <c r="AH282" s="231">
        <f t="shared" si="261"/>
        <v>0</v>
      </c>
      <c r="AI282" s="231">
        <f t="shared" si="261"/>
        <v>0</v>
      </c>
      <c r="AJ282" s="231">
        <f t="shared" si="261"/>
        <v>0</v>
      </c>
      <c r="AK282" s="231">
        <f t="shared" si="261"/>
        <v>0</v>
      </c>
      <c r="AL282" s="231">
        <f t="shared" si="261"/>
        <v>0</v>
      </c>
      <c r="AM282" s="231">
        <f t="shared" si="261"/>
        <v>0</v>
      </c>
      <c r="AN282" s="231">
        <f t="shared" si="261"/>
        <v>0</v>
      </c>
      <c r="AO282" s="231">
        <f t="shared" si="261"/>
        <v>0</v>
      </c>
      <c r="AP282" s="60"/>
      <c r="AQ282" s="60"/>
      <c r="AR282" s="60"/>
      <c r="AS282" s="60"/>
      <c r="AT282" s="60"/>
    </row>
    <row r="283" spans="8:46" ht="20.25" customHeight="1">
      <c r="H283" s="105" t="s">
        <v>270</v>
      </c>
      <c r="I283" s="107" t="s">
        <v>29</v>
      </c>
      <c r="J283" s="232">
        <f t="shared" si="259"/>
        <v>0</v>
      </c>
      <c r="K283" s="232">
        <f t="shared" si="260"/>
        <v>0</v>
      </c>
      <c r="L283" s="231">
        <f t="shared" ref="L283:AO283" si="262">L210</f>
        <v>0</v>
      </c>
      <c r="M283" s="231">
        <f t="shared" si="262"/>
        <v>0</v>
      </c>
      <c r="N283" s="231">
        <f t="shared" si="262"/>
        <v>0</v>
      </c>
      <c r="O283" s="231">
        <f t="shared" si="262"/>
        <v>0</v>
      </c>
      <c r="P283" s="231">
        <f t="shared" si="262"/>
        <v>0</v>
      </c>
      <c r="Q283" s="231">
        <f t="shared" si="262"/>
        <v>0</v>
      </c>
      <c r="R283" s="231">
        <f t="shared" si="262"/>
        <v>0</v>
      </c>
      <c r="S283" s="231">
        <f t="shared" si="262"/>
        <v>0</v>
      </c>
      <c r="T283" s="231">
        <f t="shared" si="262"/>
        <v>0</v>
      </c>
      <c r="U283" s="231">
        <f t="shared" si="262"/>
        <v>0</v>
      </c>
      <c r="V283" s="231">
        <f t="shared" si="262"/>
        <v>0</v>
      </c>
      <c r="W283" s="231">
        <f t="shared" si="262"/>
        <v>0</v>
      </c>
      <c r="X283" s="231">
        <f t="shared" si="262"/>
        <v>0</v>
      </c>
      <c r="Y283" s="231">
        <f t="shared" si="262"/>
        <v>0</v>
      </c>
      <c r="Z283" s="231">
        <f t="shared" si="262"/>
        <v>0</v>
      </c>
      <c r="AA283" s="231">
        <f t="shared" si="262"/>
        <v>0</v>
      </c>
      <c r="AB283" s="231">
        <f t="shared" si="262"/>
        <v>0</v>
      </c>
      <c r="AC283" s="231">
        <f t="shared" si="262"/>
        <v>0</v>
      </c>
      <c r="AD283" s="231">
        <f t="shared" si="262"/>
        <v>0</v>
      </c>
      <c r="AE283" s="231">
        <f t="shared" si="262"/>
        <v>0</v>
      </c>
      <c r="AF283" s="231">
        <f t="shared" si="262"/>
        <v>0</v>
      </c>
      <c r="AG283" s="231">
        <f t="shared" si="262"/>
        <v>0</v>
      </c>
      <c r="AH283" s="231">
        <f t="shared" si="262"/>
        <v>0</v>
      </c>
      <c r="AI283" s="231">
        <f t="shared" si="262"/>
        <v>0</v>
      </c>
      <c r="AJ283" s="231">
        <f t="shared" si="262"/>
        <v>0</v>
      </c>
      <c r="AK283" s="231">
        <f t="shared" si="262"/>
        <v>0</v>
      </c>
      <c r="AL283" s="231">
        <f t="shared" si="262"/>
        <v>0</v>
      </c>
      <c r="AM283" s="231">
        <f t="shared" si="262"/>
        <v>0</v>
      </c>
      <c r="AN283" s="231">
        <f t="shared" si="262"/>
        <v>0</v>
      </c>
      <c r="AO283" s="231">
        <f t="shared" si="262"/>
        <v>0</v>
      </c>
      <c r="AP283" s="60"/>
      <c r="AQ283" s="60"/>
      <c r="AR283" s="60"/>
      <c r="AS283" s="60"/>
      <c r="AT283" s="60"/>
    </row>
    <row r="284" spans="8:46" ht="20.25" customHeight="1">
      <c r="H284" s="105" t="s">
        <v>271</v>
      </c>
      <c r="I284" s="107" t="s">
        <v>29</v>
      </c>
      <c r="J284" s="232">
        <f t="shared" si="259"/>
        <v>0</v>
      </c>
      <c r="K284" s="232">
        <f t="shared" si="260"/>
        <v>0</v>
      </c>
      <c r="L284" s="231">
        <f t="shared" ref="L284:AO284" si="263">L211</f>
        <v>0</v>
      </c>
      <c r="M284" s="231">
        <f t="shared" si="263"/>
        <v>0</v>
      </c>
      <c r="N284" s="231">
        <f t="shared" si="263"/>
        <v>0</v>
      </c>
      <c r="O284" s="231">
        <f t="shared" si="263"/>
        <v>0</v>
      </c>
      <c r="P284" s="231">
        <f t="shared" si="263"/>
        <v>0</v>
      </c>
      <c r="Q284" s="231">
        <f t="shared" si="263"/>
        <v>0</v>
      </c>
      <c r="R284" s="231">
        <f t="shared" si="263"/>
        <v>0</v>
      </c>
      <c r="S284" s="231">
        <f t="shared" si="263"/>
        <v>0</v>
      </c>
      <c r="T284" s="231">
        <f t="shared" si="263"/>
        <v>0</v>
      </c>
      <c r="U284" s="231">
        <f t="shared" si="263"/>
        <v>0</v>
      </c>
      <c r="V284" s="231">
        <f t="shared" si="263"/>
        <v>0</v>
      </c>
      <c r="W284" s="231">
        <f t="shared" si="263"/>
        <v>0</v>
      </c>
      <c r="X284" s="231">
        <f t="shared" si="263"/>
        <v>0</v>
      </c>
      <c r="Y284" s="231">
        <f t="shared" si="263"/>
        <v>0</v>
      </c>
      <c r="Z284" s="231">
        <f t="shared" si="263"/>
        <v>0</v>
      </c>
      <c r="AA284" s="231">
        <f t="shared" si="263"/>
        <v>0</v>
      </c>
      <c r="AB284" s="231">
        <f t="shared" si="263"/>
        <v>0</v>
      </c>
      <c r="AC284" s="231">
        <f t="shared" si="263"/>
        <v>0</v>
      </c>
      <c r="AD284" s="231">
        <f t="shared" si="263"/>
        <v>0</v>
      </c>
      <c r="AE284" s="231">
        <f t="shared" si="263"/>
        <v>0</v>
      </c>
      <c r="AF284" s="231">
        <f t="shared" si="263"/>
        <v>0</v>
      </c>
      <c r="AG284" s="231">
        <f t="shared" si="263"/>
        <v>0</v>
      </c>
      <c r="AH284" s="231">
        <f t="shared" si="263"/>
        <v>0</v>
      </c>
      <c r="AI284" s="231">
        <f t="shared" si="263"/>
        <v>0</v>
      </c>
      <c r="AJ284" s="231">
        <f t="shared" si="263"/>
        <v>0</v>
      </c>
      <c r="AK284" s="231">
        <f t="shared" si="263"/>
        <v>0</v>
      </c>
      <c r="AL284" s="231">
        <f t="shared" si="263"/>
        <v>0</v>
      </c>
      <c r="AM284" s="231">
        <f t="shared" si="263"/>
        <v>0</v>
      </c>
      <c r="AN284" s="231">
        <f t="shared" si="263"/>
        <v>0</v>
      </c>
      <c r="AO284" s="231">
        <f t="shared" si="263"/>
        <v>0</v>
      </c>
      <c r="AP284" s="60"/>
      <c r="AQ284" s="60"/>
      <c r="AR284" s="60"/>
    </row>
    <row r="285" spans="8:46" ht="20.25" customHeight="1">
      <c r="H285" s="105" t="s">
        <v>272</v>
      </c>
      <c r="I285" s="107" t="s">
        <v>29</v>
      </c>
      <c r="J285" s="232">
        <f t="shared" si="259"/>
        <v>0</v>
      </c>
      <c r="K285" s="232">
        <f t="shared" si="260"/>
        <v>0</v>
      </c>
      <c r="L285" s="231">
        <f t="shared" ref="L285:AO285" si="264">L212</f>
        <v>0</v>
      </c>
      <c r="M285" s="231">
        <f t="shared" si="264"/>
        <v>0</v>
      </c>
      <c r="N285" s="231">
        <f t="shared" si="264"/>
        <v>0</v>
      </c>
      <c r="O285" s="231">
        <f t="shared" si="264"/>
        <v>0</v>
      </c>
      <c r="P285" s="231">
        <f t="shared" si="264"/>
        <v>0</v>
      </c>
      <c r="Q285" s="231">
        <f t="shared" si="264"/>
        <v>0</v>
      </c>
      <c r="R285" s="231">
        <f t="shared" si="264"/>
        <v>0</v>
      </c>
      <c r="S285" s="231">
        <f t="shared" si="264"/>
        <v>0</v>
      </c>
      <c r="T285" s="231">
        <f t="shared" si="264"/>
        <v>0</v>
      </c>
      <c r="U285" s="231">
        <f t="shared" si="264"/>
        <v>0</v>
      </c>
      <c r="V285" s="231">
        <f t="shared" si="264"/>
        <v>0</v>
      </c>
      <c r="W285" s="231">
        <f t="shared" si="264"/>
        <v>0</v>
      </c>
      <c r="X285" s="231">
        <f t="shared" si="264"/>
        <v>0</v>
      </c>
      <c r="Y285" s="231">
        <f t="shared" si="264"/>
        <v>0</v>
      </c>
      <c r="Z285" s="231">
        <f t="shared" si="264"/>
        <v>0</v>
      </c>
      <c r="AA285" s="231">
        <f t="shared" si="264"/>
        <v>0</v>
      </c>
      <c r="AB285" s="231">
        <f t="shared" si="264"/>
        <v>0</v>
      </c>
      <c r="AC285" s="231">
        <f t="shared" si="264"/>
        <v>0</v>
      </c>
      <c r="AD285" s="231">
        <f t="shared" si="264"/>
        <v>0</v>
      </c>
      <c r="AE285" s="231">
        <f t="shared" si="264"/>
        <v>0</v>
      </c>
      <c r="AF285" s="231">
        <f t="shared" si="264"/>
        <v>0</v>
      </c>
      <c r="AG285" s="231">
        <f t="shared" si="264"/>
        <v>0</v>
      </c>
      <c r="AH285" s="231">
        <f t="shared" si="264"/>
        <v>0</v>
      </c>
      <c r="AI285" s="231">
        <f t="shared" si="264"/>
        <v>0</v>
      </c>
      <c r="AJ285" s="231">
        <f t="shared" si="264"/>
        <v>0</v>
      </c>
      <c r="AK285" s="231">
        <f t="shared" si="264"/>
        <v>0</v>
      </c>
      <c r="AL285" s="231">
        <f t="shared" si="264"/>
        <v>0</v>
      </c>
      <c r="AM285" s="231">
        <f t="shared" si="264"/>
        <v>0</v>
      </c>
      <c r="AN285" s="231">
        <f t="shared" si="264"/>
        <v>0</v>
      </c>
      <c r="AO285" s="231">
        <f t="shared" si="264"/>
        <v>0</v>
      </c>
      <c r="AP285" s="60"/>
      <c r="AQ285" s="60"/>
      <c r="AR285" s="60"/>
    </row>
    <row r="286" spans="8:46" ht="20.25" customHeight="1">
      <c r="H286" s="105" t="s">
        <v>68</v>
      </c>
      <c r="I286" s="107" t="s">
        <v>29</v>
      </c>
      <c r="J286" s="232">
        <f t="shared" si="259"/>
        <v>0</v>
      </c>
      <c r="K286" s="232">
        <f t="shared" si="260"/>
        <v>0</v>
      </c>
      <c r="L286" s="231">
        <f t="shared" ref="L286:AO286" si="265">L213</f>
        <v>0</v>
      </c>
      <c r="M286" s="231">
        <f t="shared" si="265"/>
        <v>0</v>
      </c>
      <c r="N286" s="231">
        <f t="shared" si="265"/>
        <v>0</v>
      </c>
      <c r="O286" s="231">
        <f t="shared" si="265"/>
        <v>0</v>
      </c>
      <c r="P286" s="231">
        <f t="shared" si="265"/>
        <v>0</v>
      </c>
      <c r="Q286" s="231">
        <f t="shared" si="265"/>
        <v>0</v>
      </c>
      <c r="R286" s="231">
        <f t="shared" si="265"/>
        <v>0</v>
      </c>
      <c r="S286" s="231">
        <f t="shared" si="265"/>
        <v>0</v>
      </c>
      <c r="T286" s="231">
        <f t="shared" si="265"/>
        <v>0</v>
      </c>
      <c r="U286" s="231">
        <f t="shared" si="265"/>
        <v>0</v>
      </c>
      <c r="V286" s="231">
        <f t="shared" si="265"/>
        <v>0</v>
      </c>
      <c r="W286" s="231">
        <f t="shared" si="265"/>
        <v>0</v>
      </c>
      <c r="X286" s="231">
        <f t="shared" si="265"/>
        <v>0</v>
      </c>
      <c r="Y286" s="231">
        <f t="shared" si="265"/>
        <v>0</v>
      </c>
      <c r="Z286" s="231">
        <f t="shared" si="265"/>
        <v>0</v>
      </c>
      <c r="AA286" s="231">
        <f t="shared" si="265"/>
        <v>0</v>
      </c>
      <c r="AB286" s="231">
        <f t="shared" si="265"/>
        <v>0</v>
      </c>
      <c r="AC286" s="231">
        <f t="shared" si="265"/>
        <v>0</v>
      </c>
      <c r="AD286" s="231">
        <f t="shared" si="265"/>
        <v>0</v>
      </c>
      <c r="AE286" s="231">
        <f t="shared" si="265"/>
        <v>0</v>
      </c>
      <c r="AF286" s="231">
        <f t="shared" si="265"/>
        <v>0</v>
      </c>
      <c r="AG286" s="231">
        <f t="shared" si="265"/>
        <v>0</v>
      </c>
      <c r="AH286" s="231">
        <f t="shared" si="265"/>
        <v>0</v>
      </c>
      <c r="AI286" s="231">
        <f t="shared" si="265"/>
        <v>0</v>
      </c>
      <c r="AJ286" s="231">
        <f t="shared" si="265"/>
        <v>0</v>
      </c>
      <c r="AK286" s="231">
        <f t="shared" si="265"/>
        <v>0</v>
      </c>
      <c r="AL286" s="231">
        <f t="shared" si="265"/>
        <v>0</v>
      </c>
      <c r="AM286" s="231">
        <f t="shared" si="265"/>
        <v>0</v>
      </c>
      <c r="AN286" s="231">
        <f t="shared" si="265"/>
        <v>0</v>
      </c>
      <c r="AO286" s="231">
        <f t="shared" si="265"/>
        <v>0</v>
      </c>
      <c r="AP286" s="60"/>
      <c r="AQ286" s="60"/>
      <c r="AR286" s="60"/>
    </row>
    <row r="287" spans="8:46" ht="20.25" customHeight="1">
      <c r="H287" s="120" t="s">
        <v>71</v>
      </c>
      <c r="I287" s="121" t="s">
        <v>29</v>
      </c>
      <c r="J287" s="225">
        <f>SUM(J282:J286)</f>
        <v>5000</v>
      </c>
      <c r="K287" s="225">
        <f t="shared" ref="K287:AO287" si="266">SUM(K282:K286)</f>
        <v>5000</v>
      </c>
      <c r="L287" s="225">
        <f t="shared" si="266"/>
        <v>5000</v>
      </c>
      <c r="M287" s="225">
        <f t="shared" si="266"/>
        <v>0</v>
      </c>
      <c r="N287" s="225">
        <f t="shared" si="266"/>
        <v>0</v>
      </c>
      <c r="O287" s="225">
        <f t="shared" si="266"/>
        <v>0</v>
      </c>
      <c r="P287" s="225">
        <f t="shared" si="266"/>
        <v>0</v>
      </c>
      <c r="Q287" s="225">
        <f t="shared" si="266"/>
        <v>0</v>
      </c>
      <c r="R287" s="225">
        <f t="shared" si="266"/>
        <v>0</v>
      </c>
      <c r="S287" s="225">
        <f t="shared" si="266"/>
        <v>0</v>
      </c>
      <c r="T287" s="225">
        <f t="shared" si="266"/>
        <v>0</v>
      </c>
      <c r="U287" s="225">
        <f t="shared" si="266"/>
        <v>0</v>
      </c>
      <c r="V287" s="225">
        <f t="shared" si="266"/>
        <v>0</v>
      </c>
      <c r="W287" s="225">
        <f t="shared" si="266"/>
        <v>0</v>
      </c>
      <c r="X287" s="225">
        <f t="shared" si="266"/>
        <v>0</v>
      </c>
      <c r="Y287" s="225">
        <f t="shared" si="266"/>
        <v>0</v>
      </c>
      <c r="Z287" s="225">
        <f t="shared" si="266"/>
        <v>0</v>
      </c>
      <c r="AA287" s="225">
        <f t="shared" si="266"/>
        <v>0</v>
      </c>
      <c r="AB287" s="225">
        <f t="shared" si="266"/>
        <v>0</v>
      </c>
      <c r="AC287" s="225">
        <f t="shared" si="266"/>
        <v>0</v>
      </c>
      <c r="AD287" s="225">
        <f t="shared" si="266"/>
        <v>0</v>
      </c>
      <c r="AE287" s="225">
        <f t="shared" si="266"/>
        <v>0</v>
      </c>
      <c r="AF287" s="225">
        <f t="shared" si="266"/>
        <v>0</v>
      </c>
      <c r="AG287" s="225">
        <f t="shared" si="266"/>
        <v>0</v>
      </c>
      <c r="AH287" s="225">
        <f t="shared" si="266"/>
        <v>0</v>
      </c>
      <c r="AI287" s="225">
        <f t="shared" si="266"/>
        <v>0</v>
      </c>
      <c r="AJ287" s="225">
        <f t="shared" si="266"/>
        <v>0</v>
      </c>
      <c r="AK287" s="225">
        <f t="shared" si="266"/>
        <v>0</v>
      </c>
      <c r="AL287" s="225">
        <f t="shared" si="266"/>
        <v>0</v>
      </c>
      <c r="AM287" s="225">
        <f t="shared" si="266"/>
        <v>0</v>
      </c>
      <c r="AN287" s="225">
        <f t="shared" si="266"/>
        <v>0</v>
      </c>
      <c r="AO287" s="225">
        <f t="shared" si="266"/>
        <v>0</v>
      </c>
      <c r="AP287" s="60"/>
      <c r="AQ287" s="60"/>
      <c r="AR287" s="60"/>
      <c r="AS287" s="60"/>
      <c r="AT287" s="60"/>
    </row>
    <row r="288" spans="8:46" ht="20.25" customHeight="1">
      <c r="H288" s="60"/>
      <c r="I288" s="60"/>
      <c r="J288" s="230"/>
      <c r="K288" s="230"/>
      <c r="L288" s="230"/>
      <c r="M288" s="230"/>
      <c r="N288" s="230"/>
      <c r="O288" s="230"/>
      <c r="P288" s="230"/>
      <c r="Q288" s="230"/>
      <c r="R288" s="230"/>
      <c r="S288" s="230"/>
      <c r="T288" s="230"/>
      <c r="U288" s="230"/>
      <c r="V288" s="230"/>
      <c r="W288" s="230"/>
      <c r="X288" s="230"/>
      <c r="Y288" s="230"/>
      <c r="Z288" s="230"/>
      <c r="AA288" s="230"/>
      <c r="AB288" s="230"/>
      <c r="AC288" s="230"/>
      <c r="AD288" s="230"/>
      <c r="AE288" s="230"/>
      <c r="AF288" s="230"/>
      <c r="AG288" s="230"/>
      <c r="AH288" s="230"/>
      <c r="AI288" s="230"/>
      <c r="AJ288" s="230"/>
      <c r="AK288" s="230"/>
      <c r="AL288" s="230"/>
      <c r="AM288" s="230"/>
      <c r="AN288" s="230"/>
      <c r="AO288" s="230"/>
      <c r="AP288" s="60"/>
      <c r="AQ288" s="60"/>
      <c r="AR288" s="60"/>
    </row>
    <row r="289" spans="8:46" ht="20.25" customHeight="1">
      <c r="H289" s="113" t="s">
        <v>77</v>
      </c>
      <c r="I289" s="114"/>
      <c r="J289" s="234"/>
      <c r="K289" s="235"/>
      <c r="L289" s="235"/>
      <c r="M289" s="235"/>
      <c r="N289" s="235"/>
      <c r="O289" s="235"/>
      <c r="P289" s="235"/>
      <c r="Q289" s="235"/>
      <c r="R289" s="235"/>
      <c r="S289" s="235"/>
      <c r="T289" s="235"/>
      <c r="U289" s="235"/>
      <c r="V289" s="235"/>
      <c r="W289" s="235"/>
      <c r="X289" s="235"/>
      <c r="Y289" s="235"/>
      <c r="Z289" s="235"/>
      <c r="AA289" s="235"/>
      <c r="AB289" s="235"/>
      <c r="AC289" s="235"/>
      <c r="AD289" s="235"/>
      <c r="AE289" s="235"/>
      <c r="AF289" s="235"/>
      <c r="AG289" s="235"/>
      <c r="AH289" s="235"/>
      <c r="AI289" s="235"/>
      <c r="AJ289" s="235"/>
      <c r="AK289" s="235"/>
      <c r="AL289" s="235"/>
      <c r="AM289" s="235"/>
      <c r="AN289" s="235"/>
      <c r="AO289" s="235"/>
      <c r="AP289" s="59"/>
      <c r="AQ289" s="59"/>
      <c r="AR289" s="59"/>
    </row>
    <row r="290" spans="8:46" ht="20.25" customHeight="1">
      <c r="H290" s="105" t="s">
        <v>273</v>
      </c>
      <c r="I290" s="107" t="s">
        <v>29</v>
      </c>
      <c r="J290" s="232">
        <f t="shared" ref="J290:J292" si="267">SUMIF($L$19:$AO$19,1,L290:AO290)</f>
        <v>0</v>
      </c>
      <c r="K290" s="232">
        <f t="shared" ref="K290:K292" si="268">SUMIF($L$18:$AO$18,1,L290:AO290)</f>
        <v>0</v>
      </c>
      <c r="L290" s="231">
        <f t="shared" ref="L290:AO290" si="269">L217</f>
        <v>0</v>
      </c>
      <c r="M290" s="231">
        <f t="shared" si="269"/>
        <v>0</v>
      </c>
      <c r="N290" s="231">
        <f t="shared" si="269"/>
        <v>0</v>
      </c>
      <c r="O290" s="231">
        <f t="shared" si="269"/>
        <v>0</v>
      </c>
      <c r="P290" s="231">
        <f t="shared" si="269"/>
        <v>0</v>
      </c>
      <c r="Q290" s="231">
        <f t="shared" si="269"/>
        <v>0</v>
      </c>
      <c r="R290" s="231">
        <f t="shared" si="269"/>
        <v>0</v>
      </c>
      <c r="S290" s="231">
        <f t="shared" si="269"/>
        <v>0</v>
      </c>
      <c r="T290" s="231">
        <f t="shared" si="269"/>
        <v>0</v>
      </c>
      <c r="U290" s="231">
        <f t="shared" si="269"/>
        <v>0</v>
      </c>
      <c r="V290" s="231">
        <f t="shared" si="269"/>
        <v>0</v>
      </c>
      <c r="W290" s="231">
        <f t="shared" si="269"/>
        <v>0</v>
      </c>
      <c r="X290" s="231">
        <f t="shared" si="269"/>
        <v>0</v>
      </c>
      <c r="Y290" s="231">
        <f t="shared" si="269"/>
        <v>0</v>
      </c>
      <c r="Z290" s="231">
        <f t="shared" si="269"/>
        <v>0</v>
      </c>
      <c r="AA290" s="231">
        <f t="shared" si="269"/>
        <v>0</v>
      </c>
      <c r="AB290" s="231">
        <f t="shared" si="269"/>
        <v>0</v>
      </c>
      <c r="AC290" s="231">
        <f t="shared" si="269"/>
        <v>0</v>
      </c>
      <c r="AD290" s="231">
        <f t="shared" si="269"/>
        <v>0</v>
      </c>
      <c r="AE290" s="231">
        <f t="shared" si="269"/>
        <v>0</v>
      </c>
      <c r="AF290" s="231">
        <f t="shared" si="269"/>
        <v>0</v>
      </c>
      <c r="AG290" s="231">
        <f t="shared" si="269"/>
        <v>0</v>
      </c>
      <c r="AH290" s="231">
        <f t="shared" si="269"/>
        <v>0</v>
      </c>
      <c r="AI290" s="231">
        <f t="shared" si="269"/>
        <v>0</v>
      </c>
      <c r="AJ290" s="231">
        <f t="shared" si="269"/>
        <v>0</v>
      </c>
      <c r="AK290" s="231">
        <f t="shared" si="269"/>
        <v>0</v>
      </c>
      <c r="AL290" s="231">
        <f t="shared" si="269"/>
        <v>0</v>
      </c>
      <c r="AM290" s="231">
        <f t="shared" si="269"/>
        <v>0</v>
      </c>
      <c r="AN290" s="231">
        <f t="shared" si="269"/>
        <v>0</v>
      </c>
      <c r="AO290" s="231">
        <f t="shared" si="269"/>
        <v>0</v>
      </c>
      <c r="AP290" s="60"/>
      <c r="AQ290" s="60"/>
      <c r="AR290" s="60"/>
    </row>
    <row r="291" spans="8:46" ht="20.25" customHeight="1">
      <c r="H291" s="105" t="s">
        <v>274</v>
      </c>
      <c r="I291" s="107" t="s">
        <v>29</v>
      </c>
      <c r="J291" s="232">
        <f t="shared" si="267"/>
        <v>0</v>
      </c>
      <c r="K291" s="232">
        <f t="shared" si="268"/>
        <v>0</v>
      </c>
      <c r="L291" s="231">
        <f t="shared" ref="L291:AO291" si="270">L218</f>
        <v>0</v>
      </c>
      <c r="M291" s="231">
        <f t="shared" si="270"/>
        <v>0</v>
      </c>
      <c r="N291" s="231">
        <f t="shared" si="270"/>
        <v>0</v>
      </c>
      <c r="O291" s="231">
        <f t="shared" si="270"/>
        <v>0</v>
      </c>
      <c r="P291" s="231">
        <f t="shared" si="270"/>
        <v>0</v>
      </c>
      <c r="Q291" s="231">
        <f t="shared" si="270"/>
        <v>0</v>
      </c>
      <c r="R291" s="231">
        <f t="shared" si="270"/>
        <v>0</v>
      </c>
      <c r="S291" s="231">
        <f t="shared" si="270"/>
        <v>0</v>
      </c>
      <c r="T291" s="231">
        <f t="shared" si="270"/>
        <v>0</v>
      </c>
      <c r="U291" s="231">
        <f t="shared" si="270"/>
        <v>0</v>
      </c>
      <c r="V291" s="231">
        <f t="shared" si="270"/>
        <v>0</v>
      </c>
      <c r="W291" s="231">
        <f t="shared" si="270"/>
        <v>0</v>
      </c>
      <c r="X291" s="231">
        <f t="shared" si="270"/>
        <v>0</v>
      </c>
      <c r="Y291" s="231">
        <f t="shared" si="270"/>
        <v>0</v>
      </c>
      <c r="Z291" s="231">
        <f t="shared" si="270"/>
        <v>0</v>
      </c>
      <c r="AA291" s="231">
        <f t="shared" si="270"/>
        <v>0</v>
      </c>
      <c r="AB291" s="231">
        <f t="shared" si="270"/>
        <v>0</v>
      </c>
      <c r="AC291" s="231">
        <f t="shared" si="270"/>
        <v>0</v>
      </c>
      <c r="AD291" s="231">
        <f t="shared" si="270"/>
        <v>0</v>
      </c>
      <c r="AE291" s="231">
        <f t="shared" si="270"/>
        <v>0</v>
      </c>
      <c r="AF291" s="231">
        <f t="shared" si="270"/>
        <v>0</v>
      </c>
      <c r="AG291" s="231">
        <f t="shared" si="270"/>
        <v>0</v>
      </c>
      <c r="AH291" s="231">
        <f t="shared" si="270"/>
        <v>0</v>
      </c>
      <c r="AI291" s="231">
        <f t="shared" si="270"/>
        <v>0</v>
      </c>
      <c r="AJ291" s="231">
        <f t="shared" si="270"/>
        <v>0</v>
      </c>
      <c r="AK291" s="231">
        <f t="shared" si="270"/>
        <v>0</v>
      </c>
      <c r="AL291" s="231">
        <f t="shared" si="270"/>
        <v>0</v>
      </c>
      <c r="AM291" s="231">
        <f t="shared" si="270"/>
        <v>0</v>
      </c>
      <c r="AN291" s="231">
        <f t="shared" si="270"/>
        <v>0</v>
      </c>
      <c r="AO291" s="231">
        <f t="shared" si="270"/>
        <v>0</v>
      </c>
      <c r="AP291" s="60"/>
      <c r="AQ291" s="60"/>
      <c r="AR291" s="60"/>
    </row>
    <row r="292" spans="8:46" ht="20.25" customHeight="1">
      <c r="H292" s="105" t="s">
        <v>226</v>
      </c>
      <c r="I292" s="107" t="s">
        <v>29</v>
      </c>
      <c r="J292" s="232">
        <f t="shared" si="267"/>
        <v>-5000</v>
      </c>
      <c r="K292" s="232">
        <f t="shared" si="268"/>
        <v>-5000</v>
      </c>
      <c r="L292" s="231">
        <f t="shared" ref="L292:AO292" si="271">L219+L144</f>
        <v>0</v>
      </c>
      <c r="M292" s="231">
        <f t="shared" si="271"/>
        <v>0</v>
      </c>
      <c r="N292" s="231">
        <f t="shared" si="271"/>
        <v>0</v>
      </c>
      <c r="O292" s="231">
        <f t="shared" si="271"/>
        <v>0</v>
      </c>
      <c r="P292" s="231">
        <f t="shared" si="271"/>
        <v>0</v>
      </c>
      <c r="Q292" s="231">
        <f t="shared" si="271"/>
        <v>0</v>
      </c>
      <c r="R292" s="231">
        <f t="shared" si="271"/>
        <v>0</v>
      </c>
      <c r="S292" s="231">
        <f t="shared" si="271"/>
        <v>0</v>
      </c>
      <c r="T292" s="231">
        <f t="shared" si="271"/>
        <v>0</v>
      </c>
      <c r="U292" s="231">
        <f t="shared" si="271"/>
        <v>0</v>
      </c>
      <c r="V292" s="231">
        <f t="shared" si="271"/>
        <v>0</v>
      </c>
      <c r="W292" s="231">
        <f t="shared" si="271"/>
        <v>0</v>
      </c>
      <c r="X292" s="231">
        <f t="shared" si="271"/>
        <v>-625</v>
      </c>
      <c r="Y292" s="231">
        <f t="shared" si="271"/>
        <v>-625</v>
      </c>
      <c r="Z292" s="231">
        <f t="shared" si="271"/>
        <v>-625</v>
      </c>
      <c r="AA292" s="231">
        <f t="shared" si="271"/>
        <v>0</v>
      </c>
      <c r="AB292" s="231">
        <f t="shared" si="271"/>
        <v>-1250</v>
      </c>
      <c r="AC292" s="231">
        <f t="shared" si="271"/>
        <v>-625</v>
      </c>
      <c r="AD292" s="231">
        <f t="shared" si="271"/>
        <v>-625</v>
      </c>
      <c r="AE292" s="231">
        <f t="shared" si="271"/>
        <v>0</v>
      </c>
      <c r="AF292" s="231">
        <f t="shared" si="271"/>
        <v>-625</v>
      </c>
      <c r="AG292" s="231">
        <f t="shared" si="271"/>
        <v>0</v>
      </c>
      <c r="AH292" s="231">
        <f t="shared" si="271"/>
        <v>0</v>
      </c>
      <c r="AI292" s="231">
        <f t="shared" si="271"/>
        <v>0</v>
      </c>
      <c r="AJ292" s="231">
        <f t="shared" si="271"/>
        <v>0</v>
      </c>
      <c r="AK292" s="231">
        <f t="shared" si="271"/>
        <v>0</v>
      </c>
      <c r="AL292" s="231">
        <f t="shared" si="271"/>
        <v>0</v>
      </c>
      <c r="AM292" s="231">
        <f t="shared" si="271"/>
        <v>0</v>
      </c>
      <c r="AN292" s="231">
        <f t="shared" si="271"/>
        <v>0</v>
      </c>
      <c r="AO292" s="231">
        <f t="shared" si="271"/>
        <v>0</v>
      </c>
      <c r="AP292" s="60"/>
      <c r="AQ292" s="60"/>
      <c r="AR292" s="60"/>
    </row>
    <row r="293" spans="8:46" ht="20.25" customHeight="1">
      <c r="H293" s="105" t="s">
        <v>227</v>
      </c>
      <c r="I293" s="107" t="s">
        <v>29</v>
      </c>
      <c r="J293" s="232">
        <f t="shared" ref="J293" si="272">SUMIF($L$19:$AO$19,1,L293:AO293)</f>
        <v>-986.9863013698631</v>
      </c>
      <c r="K293" s="232">
        <f t="shared" ref="K293" si="273">SUMIF($L$18:$AO$18,1,L293:AO293)</f>
        <v>-986.9863013698631</v>
      </c>
      <c r="L293" s="231">
        <f t="shared" ref="L293:AO293" si="274">L145</f>
        <v>-9.589041095890412</v>
      </c>
      <c r="M293" s="231">
        <f t="shared" si="274"/>
        <v>-62.328767123287669</v>
      </c>
      <c r="N293" s="231">
        <f t="shared" si="274"/>
        <v>-63.013698630136986</v>
      </c>
      <c r="O293" s="231">
        <f t="shared" si="274"/>
        <v>-73.287671232876718</v>
      </c>
      <c r="P293" s="231">
        <f t="shared" si="274"/>
        <v>-51.369863013698627</v>
      </c>
      <c r="Q293" s="231">
        <f t="shared" si="274"/>
        <v>-62.328767123287669</v>
      </c>
      <c r="R293" s="231">
        <f t="shared" si="274"/>
        <v>-63.013698630136986</v>
      </c>
      <c r="S293" s="231">
        <f t="shared" si="274"/>
        <v>-73.287671232876718</v>
      </c>
      <c r="T293" s="231">
        <f t="shared" si="274"/>
        <v>-52.054794520547944</v>
      </c>
      <c r="U293" s="231">
        <f t="shared" si="274"/>
        <v>-62.328767123287669</v>
      </c>
      <c r="V293" s="231">
        <f t="shared" si="274"/>
        <v>-63.013698630136986</v>
      </c>
      <c r="W293" s="231">
        <f t="shared" si="274"/>
        <v>-73.287671232876718</v>
      </c>
      <c r="X293" s="231">
        <f t="shared" si="274"/>
        <v>-51.369863013698627</v>
      </c>
      <c r="Y293" s="231">
        <f t="shared" si="274"/>
        <v>-54.537671232876711</v>
      </c>
      <c r="Z293" s="231">
        <f t="shared" si="274"/>
        <v>-47.260273972602739</v>
      </c>
      <c r="AA293" s="231">
        <f t="shared" si="274"/>
        <v>-45.804794520547944</v>
      </c>
      <c r="AB293" s="231">
        <f t="shared" si="274"/>
        <v>-25.684931506849313</v>
      </c>
      <c r="AC293" s="231">
        <f t="shared" si="274"/>
        <v>-23.373287671232877</v>
      </c>
      <c r="AD293" s="231">
        <f t="shared" si="274"/>
        <v>-15.753424657534246</v>
      </c>
      <c r="AE293" s="231">
        <f t="shared" si="274"/>
        <v>-9.1609589041095898</v>
      </c>
      <c r="AF293" s="231">
        <f t="shared" si="274"/>
        <v>-5.1369863013698627</v>
      </c>
      <c r="AG293" s="231">
        <f t="shared" si="274"/>
        <v>0</v>
      </c>
      <c r="AH293" s="231">
        <f t="shared" si="274"/>
        <v>0</v>
      </c>
      <c r="AI293" s="231">
        <f t="shared" si="274"/>
        <v>0</v>
      </c>
      <c r="AJ293" s="231">
        <f t="shared" si="274"/>
        <v>0</v>
      </c>
      <c r="AK293" s="231">
        <f t="shared" si="274"/>
        <v>0</v>
      </c>
      <c r="AL293" s="231">
        <f t="shared" si="274"/>
        <v>0</v>
      </c>
      <c r="AM293" s="231">
        <f t="shared" si="274"/>
        <v>0</v>
      </c>
      <c r="AN293" s="231">
        <f t="shared" si="274"/>
        <v>0</v>
      </c>
      <c r="AO293" s="231">
        <f t="shared" si="274"/>
        <v>0</v>
      </c>
      <c r="AP293" s="60"/>
      <c r="AQ293" s="60"/>
      <c r="AR293" s="60"/>
    </row>
    <row r="294" spans="8:46" ht="20.25" customHeight="1">
      <c r="H294" s="120" t="s">
        <v>71</v>
      </c>
      <c r="I294" s="121" t="s">
        <v>29</v>
      </c>
      <c r="J294" s="225">
        <f>SUM(J290:J293)</f>
        <v>-5986.9863013698632</v>
      </c>
      <c r="K294" s="225">
        <f t="shared" ref="K294:AO294" si="275">SUM(K290:K293)</f>
        <v>-5986.9863013698632</v>
      </c>
      <c r="L294" s="225">
        <f t="shared" si="275"/>
        <v>-9.589041095890412</v>
      </c>
      <c r="M294" s="225">
        <f t="shared" si="275"/>
        <v>-62.328767123287669</v>
      </c>
      <c r="N294" s="225">
        <f t="shared" si="275"/>
        <v>-63.013698630136986</v>
      </c>
      <c r="O294" s="225">
        <f t="shared" si="275"/>
        <v>-73.287671232876718</v>
      </c>
      <c r="P294" s="225">
        <f t="shared" si="275"/>
        <v>-51.369863013698627</v>
      </c>
      <c r="Q294" s="225">
        <f t="shared" si="275"/>
        <v>-62.328767123287669</v>
      </c>
      <c r="R294" s="225">
        <f t="shared" si="275"/>
        <v>-63.013698630136986</v>
      </c>
      <c r="S294" s="225">
        <f t="shared" si="275"/>
        <v>-73.287671232876718</v>
      </c>
      <c r="T294" s="225">
        <f t="shared" si="275"/>
        <v>-52.054794520547944</v>
      </c>
      <c r="U294" s="225">
        <f t="shared" si="275"/>
        <v>-62.328767123287669</v>
      </c>
      <c r="V294" s="225">
        <f t="shared" si="275"/>
        <v>-63.013698630136986</v>
      </c>
      <c r="W294" s="225">
        <f t="shared" si="275"/>
        <v>-73.287671232876718</v>
      </c>
      <c r="X294" s="225">
        <f t="shared" si="275"/>
        <v>-676.36986301369859</v>
      </c>
      <c r="Y294" s="225">
        <f t="shared" si="275"/>
        <v>-679.53767123287673</v>
      </c>
      <c r="Z294" s="225">
        <f t="shared" si="275"/>
        <v>-672.2602739726027</v>
      </c>
      <c r="AA294" s="225">
        <f t="shared" si="275"/>
        <v>-45.804794520547944</v>
      </c>
      <c r="AB294" s="225">
        <f t="shared" si="275"/>
        <v>-1275.6849315068494</v>
      </c>
      <c r="AC294" s="225">
        <f t="shared" si="275"/>
        <v>-648.3732876712329</v>
      </c>
      <c r="AD294" s="225">
        <f t="shared" si="275"/>
        <v>-640.7534246575342</v>
      </c>
      <c r="AE294" s="225">
        <f t="shared" si="275"/>
        <v>-9.1609589041095898</v>
      </c>
      <c r="AF294" s="225">
        <f t="shared" si="275"/>
        <v>-630.13698630136992</v>
      </c>
      <c r="AG294" s="225">
        <f t="shared" si="275"/>
        <v>0</v>
      </c>
      <c r="AH294" s="225">
        <f t="shared" si="275"/>
        <v>0</v>
      </c>
      <c r="AI294" s="225">
        <f t="shared" si="275"/>
        <v>0</v>
      </c>
      <c r="AJ294" s="225">
        <f t="shared" si="275"/>
        <v>0</v>
      </c>
      <c r="AK294" s="225">
        <f t="shared" si="275"/>
        <v>0</v>
      </c>
      <c r="AL294" s="225">
        <f t="shared" si="275"/>
        <v>0</v>
      </c>
      <c r="AM294" s="225">
        <f t="shared" si="275"/>
        <v>0</v>
      </c>
      <c r="AN294" s="225">
        <f t="shared" si="275"/>
        <v>0</v>
      </c>
      <c r="AO294" s="225">
        <f t="shared" si="275"/>
        <v>0</v>
      </c>
      <c r="AP294" s="60"/>
      <c r="AQ294" s="60"/>
      <c r="AR294" s="60"/>
      <c r="AS294" s="60"/>
      <c r="AT294" s="60"/>
    </row>
    <row r="295" spans="8:46" ht="20.25" customHeight="1">
      <c r="H295" s="60"/>
      <c r="I295" s="60"/>
      <c r="J295" s="230"/>
      <c r="K295" s="230"/>
      <c r="L295" s="230"/>
      <c r="M295" s="230"/>
      <c r="N295" s="230"/>
      <c r="O295" s="230"/>
      <c r="P295" s="230"/>
      <c r="Q295" s="230"/>
      <c r="R295" s="230"/>
      <c r="S295" s="230"/>
      <c r="T295" s="230"/>
      <c r="U295" s="230"/>
      <c r="V295" s="230"/>
      <c r="W295" s="230"/>
      <c r="X295" s="230"/>
      <c r="Y295" s="230"/>
      <c r="Z295" s="230"/>
      <c r="AA295" s="230"/>
      <c r="AB295" s="230"/>
      <c r="AC295" s="230"/>
      <c r="AD295" s="230"/>
      <c r="AE295" s="230"/>
      <c r="AF295" s="230"/>
      <c r="AG295" s="230"/>
      <c r="AH295" s="230"/>
      <c r="AI295" s="230"/>
      <c r="AJ295" s="230"/>
      <c r="AK295" s="230"/>
      <c r="AL295" s="230"/>
      <c r="AM295" s="230"/>
      <c r="AN295" s="230"/>
      <c r="AO295" s="230"/>
      <c r="AP295" s="60"/>
      <c r="AQ295" s="60"/>
      <c r="AR295" s="60"/>
    </row>
    <row r="296" spans="8:46" ht="20.25" customHeight="1">
      <c r="H296" s="120" t="s">
        <v>83</v>
      </c>
      <c r="I296" s="121" t="s">
        <v>29</v>
      </c>
      <c r="J296" s="225">
        <f>J287+J294</f>
        <v>-986.98630136986321</v>
      </c>
      <c r="K296" s="225">
        <f t="shared" ref="K296:AO296" si="276">K287+K294</f>
        <v>-986.98630136986321</v>
      </c>
      <c r="L296" s="225">
        <f t="shared" si="276"/>
        <v>4990.41095890411</v>
      </c>
      <c r="M296" s="225">
        <f>M287+M294</f>
        <v>-62.328767123287669</v>
      </c>
      <c r="N296" s="225">
        <f t="shared" si="276"/>
        <v>-63.013698630136986</v>
      </c>
      <c r="O296" s="225">
        <f t="shared" si="276"/>
        <v>-73.287671232876718</v>
      </c>
      <c r="P296" s="225">
        <f t="shared" si="276"/>
        <v>-51.369863013698627</v>
      </c>
      <c r="Q296" s="225">
        <f t="shared" si="276"/>
        <v>-62.328767123287669</v>
      </c>
      <c r="R296" s="225">
        <f t="shared" si="276"/>
        <v>-63.013698630136986</v>
      </c>
      <c r="S296" s="225">
        <f t="shared" si="276"/>
        <v>-73.287671232876718</v>
      </c>
      <c r="T296" s="225">
        <f t="shared" si="276"/>
        <v>-52.054794520547944</v>
      </c>
      <c r="U296" s="225">
        <f t="shared" si="276"/>
        <v>-62.328767123287669</v>
      </c>
      <c r="V296" s="225">
        <f t="shared" si="276"/>
        <v>-63.013698630136986</v>
      </c>
      <c r="W296" s="225">
        <f t="shared" si="276"/>
        <v>-73.287671232876718</v>
      </c>
      <c r="X296" s="225">
        <f t="shared" si="276"/>
        <v>-676.36986301369859</v>
      </c>
      <c r="Y296" s="225">
        <f t="shared" si="276"/>
        <v>-679.53767123287673</v>
      </c>
      <c r="Z296" s="225">
        <f t="shared" si="276"/>
        <v>-672.2602739726027</v>
      </c>
      <c r="AA296" s="225">
        <f t="shared" si="276"/>
        <v>-45.804794520547944</v>
      </c>
      <c r="AB296" s="225">
        <f t="shared" si="276"/>
        <v>-1275.6849315068494</v>
      </c>
      <c r="AC296" s="225">
        <f t="shared" si="276"/>
        <v>-648.3732876712329</v>
      </c>
      <c r="AD296" s="225">
        <f t="shared" si="276"/>
        <v>-640.7534246575342</v>
      </c>
      <c r="AE296" s="225">
        <f t="shared" si="276"/>
        <v>-9.1609589041095898</v>
      </c>
      <c r="AF296" s="225">
        <f t="shared" si="276"/>
        <v>-630.13698630136992</v>
      </c>
      <c r="AG296" s="225">
        <f t="shared" si="276"/>
        <v>0</v>
      </c>
      <c r="AH296" s="225">
        <f t="shared" si="276"/>
        <v>0</v>
      </c>
      <c r="AI296" s="225">
        <f t="shared" si="276"/>
        <v>0</v>
      </c>
      <c r="AJ296" s="225">
        <f t="shared" si="276"/>
        <v>0</v>
      </c>
      <c r="AK296" s="225">
        <f t="shared" si="276"/>
        <v>0</v>
      </c>
      <c r="AL296" s="225">
        <f t="shared" si="276"/>
        <v>0</v>
      </c>
      <c r="AM296" s="225">
        <f t="shared" si="276"/>
        <v>0</v>
      </c>
      <c r="AN296" s="225">
        <f t="shared" si="276"/>
        <v>0</v>
      </c>
      <c r="AO296" s="225">
        <f t="shared" si="276"/>
        <v>0</v>
      </c>
      <c r="AP296" s="60"/>
      <c r="AQ296" s="60"/>
      <c r="AR296" s="60"/>
      <c r="AS296" s="60"/>
      <c r="AT296" s="60"/>
    </row>
    <row r="297" spans="8:46" ht="20.25" customHeight="1">
      <c r="H297" s="60"/>
      <c r="I297" s="60"/>
      <c r="J297" s="230"/>
      <c r="K297" s="230"/>
      <c r="L297" s="230"/>
      <c r="M297" s="230"/>
      <c r="N297" s="230"/>
      <c r="O297" s="230"/>
      <c r="P297" s="230"/>
      <c r="Q297" s="230"/>
      <c r="R297" s="230"/>
      <c r="S297" s="230"/>
      <c r="T297" s="230"/>
      <c r="U297" s="230"/>
      <c r="V297" s="230"/>
      <c r="W297" s="230"/>
      <c r="X297" s="230"/>
      <c r="Y297" s="230"/>
      <c r="Z297" s="230"/>
      <c r="AA297" s="230"/>
      <c r="AB297" s="230"/>
      <c r="AC297" s="230"/>
      <c r="AD297" s="230"/>
      <c r="AE297" s="230"/>
      <c r="AF297" s="230"/>
      <c r="AG297" s="230"/>
      <c r="AH297" s="230"/>
      <c r="AI297" s="230"/>
      <c r="AJ297" s="230"/>
      <c r="AK297" s="230"/>
      <c r="AL297" s="230"/>
      <c r="AM297" s="230"/>
      <c r="AN297" s="230"/>
      <c r="AO297" s="230"/>
      <c r="AP297" s="60"/>
      <c r="AQ297" s="60"/>
      <c r="AR297" s="60"/>
    </row>
    <row r="298" spans="8:46" ht="20.25" customHeight="1">
      <c r="H298" s="112" t="s">
        <v>84</v>
      </c>
      <c r="I298" s="60"/>
      <c r="J298" s="230"/>
      <c r="K298" s="230"/>
      <c r="L298" s="230"/>
      <c r="M298" s="230"/>
      <c r="N298" s="230"/>
      <c r="O298" s="230"/>
      <c r="P298" s="230"/>
      <c r="Q298" s="230"/>
      <c r="R298" s="230"/>
      <c r="S298" s="230"/>
      <c r="T298" s="230"/>
      <c r="U298" s="230"/>
      <c r="V298" s="230"/>
      <c r="W298" s="230"/>
      <c r="X298" s="230"/>
      <c r="Y298" s="230"/>
      <c r="Z298" s="230"/>
      <c r="AA298" s="230"/>
      <c r="AB298" s="230"/>
      <c r="AC298" s="230"/>
      <c r="AD298" s="230"/>
      <c r="AE298" s="230"/>
      <c r="AF298" s="230"/>
      <c r="AG298" s="230"/>
      <c r="AH298" s="230"/>
      <c r="AI298" s="230"/>
      <c r="AJ298" s="230"/>
      <c r="AK298" s="230"/>
      <c r="AL298" s="230"/>
      <c r="AM298" s="230"/>
      <c r="AN298" s="230"/>
      <c r="AO298" s="230"/>
      <c r="AP298" s="60"/>
      <c r="AQ298" s="60"/>
      <c r="AR298" s="60"/>
    </row>
    <row r="299" spans="8:46" ht="20.25" customHeight="1">
      <c r="H299" s="105" t="s">
        <v>85</v>
      </c>
      <c r="I299" s="107" t="s">
        <v>29</v>
      </c>
      <c r="J299" s="232">
        <f>L299</f>
        <v>450</v>
      </c>
      <c r="K299" s="232">
        <f>L299</f>
        <v>450</v>
      </c>
      <c r="L299" s="231">
        <f>L235+L151</f>
        <v>450</v>
      </c>
      <c r="M299" s="231">
        <f>L301</f>
        <v>-4417.91904109589</v>
      </c>
      <c r="N299" s="231">
        <f t="shared" ref="N299:AO299" si="277">M301</f>
        <v>-18086.658649305245</v>
      </c>
      <c r="O299" s="231">
        <f t="shared" si="277"/>
        <v>-21529.970689021447</v>
      </c>
      <c r="P299" s="231">
        <f t="shared" si="277"/>
        <v>-17697.401201340388</v>
      </c>
      <c r="Q299" s="231">
        <f t="shared" si="277"/>
        <v>-17834.799405440153</v>
      </c>
      <c r="R299" s="231">
        <f t="shared" si="277"/>
        <v>-18478.044013649505</v>
      </c>
      <c r="S299" s="231">
        <f t="shared" si="277"/>
        <v>-19201.766053365707</v>
      </c>
      <c r="T299" s="231">
        <f t="shared" si="277"/>
        <v>-19956.289565684649</v>
      </c>
      <c r="U299" s="231">
        <f t="shared" si="277"/>
        <v>-20706.875201291263</v>
      </c>
      <c r="V299" s="231">
        <f t="shared" si="277"/>
        <v>-21485.569809500616</v>
      </c>
      <c r="W299" s="231">
        <f t="shared" si="277"/>
        <v>-22283.519349216818</v>
      </c>
      <c r="X299" s="231">
        <f t="shared" si="277"/>
        <v>-23110.447861535762</v>
      </c>
      <c r="Y299" s="231">
        <f t="shared" si="277"/>
        <v>-24558.556065635526</v>
      </c>
      <c r="Z299" s="231">
        <f t="shared" si="277"/>
        <v>-26029.264577954469</v>
      </c>
      <c r="AA299" s="231">
        <f t="shared" si="277"/>
        <v>-27512.600693013137</v>
      </c>
      <c r="AB299" s="231">
        <f t="shared" si="277"/>
        <v>-28389.52882861975</v>
      </c>
      <c r="AC299" s="231">
        <f t="shared" si="277"/>
        <v>-30515.784601212665</v>
      </c>
      <c r="AD299" s="231">
        <f t="shared" si="277"/>
        <v>-32035.496229969962</v>
      </c>
      <c r="AE299" s="231">
        <f t="shared" si="277"/>
        <v>-33568.940495713563</v>
      </c>
      <c r="AF299" s="231">
        <f t="shared" si="277"/>
        <v>-34492.174795703737</v>
      </c>
      <c r="AG299" s="231">
        <f t="shared" si="277"/>
        <v>-36057.167623091169</v>
      </c>
      <c r="AH299" s="231">
        <f t="shared" si="277"/>
        <v>-37428.885687537891</v>
      </c>
      <c r="AI299" s="231">
        <f t="shared" si="277"/>
        <v>-38823.141251984613</v>
      </c>
      <c r="AJ299" s="231">
        <f t="shared" si="277"/>
        <v>-40240.309316431332</v>
      </c>
      <c r="AK299" s="231">
        <f t="shared" si="277"/>
        <v>-41680.494880878054</v>
      </c>
      <c r="AL299" s="231">
        <f t="shared" si="277"/>
        <v>-43144.080445324777</v>
      </c>
      <c r="AM299" s="231">
        <f t="shared" si="277"/>
        <v>-44631.741009771496</v>
      </c>
      <c r="AN299" s="231">
        <f t="shared" si="277"/>
        <v>-46143.851574218221</v>
      </c>
      <c r="AO299" s="231">
        <f t="shared" si="277"/>
        <v>-47680.322138664938</v>
      </c>
      <c r="AP299" s="60"/>
      <c r="AQ299" s="60"/>
      <c r="AR299" s="60"/>
    </row>
    <row r="300" spans="8:46" ht="20.25" customHeight="1">
      <c r="H300" s="105" t="s">
        <v>86</v>
      </c>
      <c r="I300" s="107" t="s">
        <v>29</v>
      </c>
      <c r="J300" s="232">
        <f>J296+J278+J260</f>
        <v>-48130.322138664938</v>
      </c>
      <c r="K300" s="232">
        <f>K296+K278+K260</f>
        <v>-36507.167623091176</v>
      </c>
      <c r="L300" s="231">
        <f>L296+L278+L260</f>
        <v>-4867.91904109589</v>
      </c>
      <c r="M300" s="231">
        <f>M296+M278+M260</f>
        <v>-13668.739608209355</v>
      </c>
      <c r="N300" s="231">
        <f t="shared" ref="N300:AO300" si="278">N296+N278+N260</f>
        <v>-3443.312039716202</v>
      </c>
      <c r="O300" s="231">
        <f t="shared" si="278"/>
        <v>3832.5694876810594</v>
      </c>
      <c r="P300" s="231">
        <f t="shared" si="278"/>
        <v>-137.39820409976423</v>
      </c>
      <c r="Q300" s="231">
        <f t="shared" si="278"/>
        <v>-643.24460820935326</v>
      </c>
      <c r="R300" s="231">
        <f t="shared" si="278"/>
        <v>-723.72203971620252</v>
      </c>
      <c r="S300" s="231">
        <f t="shared" si="278"/>
        <v>-754.52351231894215</v>
      </c>
      <c r="T300" s="231">
        <f t="shared" si="278"/>
        <v>-750.58563560661344</v>
      </c>
      <c r="U300" s="231">
        <f t="shared" si="278"/>
        <v>-778.69460820935308</v>
      </c>
      <c r="V300" s="231">
        <f t="shared" si="278"/>
        <v>-797.94953971620248</v>
      </c>
      <c r="W300" s="231">
        <f t="shared" si="278"/>
        <v>-826.92851231894235</v>
      </c>
      <c r="X300" s="231">
        <f t="shared" si="278"/>
        <v>-1448.108204099764</v>
      </c>
      <c r="Y300" s="231">
        <f t="shared" si="278"/>
        <v>-1470.7085123189422</v>
      </c>
      <c r="Z300" s="231">
        <f t="shared" si="278"/>
        <v>-1483.3361150586684</v>
      </c>
      <c r="AA300" s="231">
        <f t="shared" si="278"/>
        <v>-876.92813560661364</v>
      </c>
      <c r="AB300" s="231">
        <f t="shared" si="278"/>
        <v>-2126.255772592915</v>
      </c>
      <c r="AC300" s="231">
        <f t="shared" si="278"/>
        <v>-1519.7116287572985</v>
      </c>
      <c r="AD300" s="231">
        <f t="shared" si="278"/>
        <v>-1533.4442657435998</v>
      </c>
      <c r="AE300" s="231">
        <f t="shared" si="278"/>
        <v>-923.23429999017537</v>
      </c>
      <c r="AF300" s="231">
        <f t="shared" si="278"/>
        <v>-1564.9928273874355</v>
      </c>
      <c r="AG300" s="231">
        <f t="shared" si="278"/>
        <v>-1371.7180644467214</v>
      </c>
      <c r="AH300" s="231">
        <f t="shared" si="278"/>
        <v>-1394.2555644467213</v>
      </c>
      <c r="AI300" s="231">
        <f t="shared" si="278"/>
        <v>-1417.1680644467212</v>
      </c>
      <c r="AJ300" s="231">
        <f t="shared" si="278"/>
        <v>-1440.1855644467214</v>
      </c>
      <c r="AK300" s="231">
        <f t="shared" si="278"/>
        <v>-1463.5855644467213</v>
      </c>
      <c r="AL300" s="231">
        <f t="shared" si="278"/>
        <v>-1487.6605644467215</v>
      </c>
      <c r="AM300" s="231">
        <f t="shared" si="278"/>
        <v>-1512.1105644467214</v>
      </c>
      <c r="AN300" s="231">
        <f t="shared" si="278"/>
        <v>-1536.4705644467213</v>
      </c>
      <c r="AO300" s="231">
        <f t="shared" si="278"/>
        <v>-57.725564446721322</v>
      </c>
      <c r="AP300" s="60"/>
      <c r="AQ300" s="60"/>
      <c r="AR300" s="60"/>
    </row>
    <row r="301" spans="8:46" ht="20.25" customHeight="1">
      <c r="H301" s="120" t="s">
        <v>87</v>
      </c>
      <c r="I301" s="121" t="s">
        <v>29</v>
      </c>
      <c r="J301" s="225">
        <f>J299+J300</f>
        <v>-47680.322138664938</v>
      </c>
      <c r="K301" s="225">
        <f t="shared" ref="K301:L301" si="279">K299+K300</f>
        <v>-36057.167623091176</v>
      </c>
      <c r="L301" s="225">
        <f t="shared" si="279"/>
        <v>-4417.91904109589</v>
      </c>
      <c r="M301" s="225">
        <f t="shared" ref="M301" si="280">M299+M300</f>
        <v>-18086.658649305245</v>
      </c>
      <c r="N301" s="225">
        <f t="shared" ref="N301" si="281">N299+N300</f>
        <v>-21529.970689021447</v>
      </c>
      <c r="O301" s="225">
        <f t="shared" ref="O301" si="282">O299+O300</f>
        <v>-17697.401201340388</v>
      </c>
      <c r="P301" s="225">
        <f t="shared" ref="P301" si="283">P299+P300</f>
        <v>-17834.799405440153</v>
      </c>
      <c r="Q301" s="225">
        <f t="shared" ref="Q301" si="284">Q299+Q300</f>
        <v>-18478.044013649505</v>
      </c>
      <c r="R301" s="225">
        <f t="shared" ref="R301" si="285">R299+R300</f>
        <v>-19201.766053365707</v>
      </c>
      <c r="S301" s="225">
        <f t="shared" ref="S301" si="286">S299+S300</f>
        <v>-19956.289565684649</v>
      </c>
      <c r="T301" s="225">
        <f t="shared" ref="T301" si="287">T299+T300</f>
        <v>-20706.875201291263</v>
      </c>
      <c r="U301" s="225">
        <f t="shared" ref="U301" si="288">U299+U300</f>
        <v>-21485.569809500616</v>
      </c>
      <c r="V301" s="225">
        <f t="shared" ref="V301" si="289">V299+V300</f>
        <v>-22283.519349216818</v>
      </c>
      <c r="W301" s="225">
        <f t="shared" ref="W301" si="290">W299+W300</f>
        <v>-23110.447861535762</v>
      </c>
      <c r="X301" s="225">
        <f t="shared" ref="X301" si="291">X299+X300</f>
        <v>-24558.556065635526</v>
      </c>
      <c r="Y301" s="225">
        <f t="shared" ref="Y301" si="292">Y299+Y300</f>
        <v>-26029.264577954469</v>
      </c>
      <c r="Z301" s="225">
        <f t="shared" ref="Z301" si="293">Z299+Z300</f>
        <v>-27512.600693013137</v>
      </c>
      <c r="AA301" s="225">
        <f t="shared" ref="AA301" si="294">AA299+AA300</f>
        <v>-28389.52882861975</v>
      </c>
      <c r="AB301" s="225">
        <f t="shared" ref="AB301" si="295">AB299+AB300</f>
        <v>-30515.784601212665</v>
      </c>
      <c r="AC301" s="225">
        <f t="shared" ref="AC301" si="296">AC299+AC300</f>
        <v>-32035.496229969962</v>
      </c>
      <c r="AD301" s="225">
        <f t="shared" ref="AD301" si="297">AD299+AD300</f>
        <v>-33568.940495713563</v>
      </c>
      <c r="AE301" s="225">
        <f t="shared" ref="AE301" si="298">AE299+AE300</f>
        <v>-34492.174795703737</v>
      </c>
      <c r="AF301" s="225">
        <f t="shared" ref="AF301" si="299">AF299+AF300</f>
        <v>-36057.167623091169</v>
      </c>
      <c r="AG301" s="225">
        <f t="shared" ref="AG301" si="300">AG299+AG300</f>
        <v>-37428.885687537891</v>
      </c>
      <c r="AH301" s="225">
        <f t="shared" ref="AH301" si="301">AH299+AH300</f>
        <v>-38823.141251984613</v>
      </c>
      <c r="AI301" s="225">
        <f t="shared" ref="AI301" si="302">AI299+AI300</f>
        <v>-40240.309316431332</v>
      </c>
      <c r="AJ301" s="225">
        <f t="shared" ref="AJ301" si="303">AJ299+AJ300</f>
        <v>-41680.494880878054</v>
      </c>
      <c r="AK301" s="225">
        <f t="shared" ref="AK301" si="304">AK299+AK300</f>
        <v>-43144.080445324777</v>
      </c>
      <c r="AL301" s="225">
        <f t="shared" ref="AL301" si="305">AL299+AL300</f>
        <v>-44631.741009771496</v>
      </c>
      <c r="AM301" s="225">
        <f t="shared" ref="AM301" si="306">AM299+AM300</f>
        <v>-46143.851574218221</v>
      </c>
      <c r="AN301" s="225">
        <f t="shared" ref="AN301" si="307">AN299+AN300</f>
        <v>-47680.322138664938</v>
      </c>
      <c r="AO301" s="225">
        <f t="shared" ref="AO301" si="308">AO299+AO300</f>
        <v>-47738.047703111661</v>
      </c>
      <c r="AP301" s="60"/>
      <c r="AQ301" s="60"/>
      <c r="AR301" s="60"/>
      <c r="AS301" s="60"/>
      <c r="AT301" s="60"/>
    </row>
    <row r="302" spans="8:46" ht="20.25" customHeight="1"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0"/>
    </row>
    <row r="303" spans="8:46" ht="20.25" hidden="1" customHeight="1" outlineLevel="1">
      <c r="H303" s="60" t="s">
        <v>431</v>
      </c>
      <c r="I303" s="60"/>
      <c r="J303" s="60" t="s">
        <v>432</v>
      </c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300">
        <f>Y304-Y151</f>
        <v>450</v>
      </c>
      <c r="Z303" s="60"/>
      <c r="AA303" s="60"/>
      <c r="AB303" s="60"/>
      <c r="AC303" s="60"/>
      <c r="AD303" s="60"/>
      <c r="AE303" s="60"/>
      <c r="AF303" s="60"/>
      <c r="AG303" s="60"/>
      <c r="AH303" s="60"/>
      <c r="AI303" s="60"/>
      <c r="AJ303" s="60"/>
      <c r="AK303" s="60"/>
      <c r="AL303" s="60"/>
      <c r="AM303" s="60"/>
      <c r="AN303" s="60"/>
      <c r="AO303" s="60"/>
      <c r="AP303" s="60"/>
      <c r="AQ303" s="60"/>
      <c r="AR303" s="60"/>
      <c r="AS303" s="60"/>
      <c r="AT303" s="60"/>
    </row>
    <row r="304" spans="8:46" ht="20.25" hidden="1" customHeight="1" outlineLevel="1">
      <c r="H304" s="105" t="s">
        <v>85</v>
      </c>
      <c r="I304" s="107" t="s">
        <v>29</v>
      </c>
      <c r="J304" s="300">
        <f t="shared" ref="J304:AO304" si="309">J235+J151</f>
        <v>450</v>
      </c>
      <c r="K304" s="300">
        <f t="shared" si="309"/>
        <v>450</v>
      </c>
      <c r="L304" s="300">
        <f t="shared" si="309"/>
        <v>450</v>
      </c>
      <c r="M304" s="300">
        <f t="shared" si="309"/>
        <v>-4417.91904109589</v>
      </c>
      <c r="N304" s="300">
        <f t="shared" si="309"/>
        <v>-18086.658649305245</v>
      </c>
      <c r="O304" s="300">
        <f t="shared" si="309"/>
        <v>-21529.970689021447</v>
      </c>
      <c r="P304" s="300">
        <f t="shared" si="309"/>
        <v>-17697.401201340388</v>
      </c>
      <c r="Q304" s="300">
        <f t="shared" si="309"/>
        <v>-17834.799405440153</v>
      </c>
      <c r="R304" s="300">
        <f t="shared" si="309"/>
        <v>-18478.044013649505</v>
      </c>
      <c r="S304" s="300">
        <f t="shared" si="309"/>
        <v>-19201.766053365707</v>
      </c>
      <c r="T304" s="300">
        <f t="shared" si="309"/>
        <v>-19956.289565684649</v>
      </c>
      <c r="U304" s="300">
        <f t="shared" si="309"/>
        <v>-20706.875201291263</v>
      </c>
      <c r="V304" s="300">
        <f t="shared" si="309"/>
        <v>-21485.569809500616</v>
      </c>
      <c r="W304" s="300">
        <f t="shared" si="309"/>
        <v>-22283.519349216818</v>
      </c>
      <c r="X304" s="300">
        <f t="shared" si="309"/>
        <v>-23110.447861535762</v>
      </c>
      <c r="Y304" s="300">
        <f t="shared" si="309"/>
        <v>-24558.556065635526</v>
      </c>
      <c r="Z304" s="300">
        <f t="shared" si="309"/>
        <v>-26029.264577954469</v>
      </c>
      <c r="AA304" s="300">
        <f t="shared" si="309"/>
        <v>-27512.600693013137</v>
      </c>
      <c r="AB304" s="300">
        <f t="shared" si="309"/>
        <v>-28389.52882861975</v>
      </c>
      <c r="AC304" s="300">
        <f t="shared" si="309"/>
        <v>-30515.784601212665</v>
      </c>
      <c r="AD304" s="300">
        <f t="shared" si="309"/>
        <v>-32035.496229969962</v>
      </c>
      <c r="AE304" s="300">
        <f t="shared" si="309"/>
        <v>-33568.940495713563</v>
      </c>
      <c r="AF304" s="300">
        <f t="shared" si="309"/>
        <v>-34492.174795703737</v>
      </c>
      <c r="AG304" s="300">
        <f t="shared" si="309"/>
        <v>-36057.167623091169</v>
      </c>
      <c r="AH304" s="300">
        <f t="shared" si="309"/>
        <v>-37428.885687537891</v>
      </c>
      <c r="AI304" s="300">
        <f t="shared" si="309"/>
        <v>-38823.141251984613</v>
      </c>
      <c r="AJ304" s="300">
        <f t="shared" si="309"/>
        <v>-40240.309316431332</v>
      </c>
      <c r="AK304" s="300">
        <f t="shared" si="309"/>
        <v>-41680.494880878054</v>
      </c>
      <c r="AL304" s="300">
        <f t="shared" si="309"/>
        <v>-43144.080445324777</v>
      </c>
      <c r="AM304" s="300">
        <f t="shared" si="309"/>
        <v>-44631.741009771496</v>
      </c>
      <c r="AN304" s="300">
        <f t="shared" si="309"/>
        <v>-46143.851574218221</v>
      </c>
      <c r="AO304" s="300">
        <f t="shared" si="309"/>
        <v>-47680.322138664938</v>
      </c>
      <c r="AP304" s="60"/>
      <c r="AQ304" s="60"/>
      <c r="AR304" s="60"/>
      <c r="AS304" s="60"/>
      <c r="AT304" s="60"/>
    </row>
    <row r="305" spans="8:46" ht="20.25" hidden="1" customHeight="1" outlineLevel="1">
      <c r="H305" s="105"/>
      <c r="I305" s="107"/>
      <c r="J305" s="300" t="b">
        <f>ROUND(J304,2)=ROUND(J299,2)</f>
        <v>1</v>
      </c>
      <c r="K305" s="300" t="b">
        <f t="shared" ref="K305:AO305" si="310">ROUND(K304,2)=ROUND(K299,2)</f>
        <v>1</v>
      </c>
      <c r="L305" s="300" t="b">
        <f t="shared" si="310"/>
        <v>1</v>
      </c>
      <c r="M305" s="300" t="b">
        <f t="shared" si="310"/>
        <v>1</v>
      </c>
      <c r="N305" s="300" t="b">
        <f t="shared" si="310"/>
        <v>1</v>
      </c>
      <c r="O305" s="300" t="b">
        <f t="shared" si="310"/>
        <v>1</v>
      </c>
      <c r="P305" s="300" t="b">
        <f t="shared" si="310"/>
        <v>1</v>
      </c>
      <c r="Q305" s="300" t="b">
        <f t="shared" si="310"/>
        <v>1</v>
      </c>
      <c r="R305" s="300" t="b">
        <f t="shared" si="310"/>
        <v>1</v>
      </c>
      <c r="S305" s="300" t="b">
        <f t="shared" si="310"/>
        <v>1</v>
      </c>
      <c r="T305" s="300" t="b">
        <f t="shared" si="310"/>
        <v>1</v>
      </c>
      <c r="U305" s="300" t="b">
        <f t="shared" si="310"/>
        <v>1</v>
      </c>
      <c r="V305" s="300" t="b">
        <f t="shared" si="310"/>
        <v>1</v>
      </c>
      <c r="W305" s="300" t="b">
        <f t="shared" si="310"/>
        <v>1</v>
      </c>
      <c r="X305" s="300" t="b">
        <f t="shared" si="310"/>
        <v>1</v>
      </c>
      <c r="Y305" s="300" t="b">
        <f t="shared" si="310"/>
        <v>1</v>
      </c>
      <c r="Z305" s="300" t="b">
        <f t="shared" si="310"/>
        <v>1</v>
      </c>
      <c r="AA305" s="300" t="b">
        <f t="shared" si="310"/>
        <v>1</v>
      </c>
      <c r="AB305" s="300" t="b">
        <f t="shared" si="310"/>
        <v>1</v>
      </c>
      <c r="AC305" s="300" t="b">
        <f t="shared" si="310"/>
        <v>1</v>
      </c>
      <c r="AD305" s="300" t="b">
        <f t="shared" si="310"/>
        <v>1</v>
      </c>
      <c r="AE305" s="300" t="b">
        <f t="shared" si="310"/>
        <v>1</v>
      </c>
      <c r="AF305" s="300" t="b">
        <f t="shared" si="310"/>
        <v>1</v>
      </c>
      <c r="AG305" s="300" t="b">
        <f t="shared" si="310"/>
        <v>1</v>
      </c>
      <c r="AH305" s="300" t="b">
        <f t="shared" si="310"/>
        <v>1</v>
      </c>
      <c r="AI305" s="300" t="b">
        <f t="shared" si="310"/>
        <v>1</v>
      </c>
      <c r="AJ305" s="300" t="b">
        <f t="shared" si="310"/>
        <v>1</v>
      </c>
      <c r="AK305" s="300" t="b">
        <f t="shared" si="310"/>
        <v>1</v>
      </c>
      <c r="AL305" s="300" t="b">
        <f t="shared" si="310"/>
        <v>1</v>
      </c>
      <c r="AM305" s="300" t="b">
        <f t="shared" si="310"/>
        <v>1</v>
      </c>
      <c r="AN305" s="300" t="b">
        <f t="shared" si="310"/>
        <v>1</v>
      </c>
      <c r="AO305" s="300" t="b">
        <f t="shared" si="310"/>
        <v>1</v>
      </c>
      <c r="AP305" s="60"/>
      <c r="AQ305" s="60"/>
      <c r="AR305" s="60"/>
      <c r="AS305" s="60"/>
      <c r="AT305" s="60"/>
    </row>
    <row r="306" spans="8:46" ht="20.25" hidden="1" customHeight="1" outlineLevel="1">
      <c r="H306" s="105" t="s">
        <v>86</v>
      </c>
      <c r="I306" s="107" t="s">
        <v>29</v>
      </c>
      <c r="J306" s="300">
        <f t="shared" ref="J306:AO306" si="311">J236+J152</f>
        <v>-48130.322138664938</v>
      </c>
      <c r="K306" s="300">
        <f t="shared" si="311"/>
        <v>-36507.167623091169</v>
      </c>
      <c r="L306" s="300">
        <f t="shared" si="311"/>
        <v>-4867.91904109589</v>
      </c>
      <c r="M306" s="300">
        <f t="shared" si="311"/>
        <v>-13668.739608209355</v>
      </c>
      <c r="N306" s="300">
        <f t="shared" si="311"/>
        <v>-3443.312039716202</v>
      </c>
      <c r="O306" s="300">
        <f t="shared" si="311"/>
        <v>3832.5694876810594</v>
      </c>
      <c r="P306" s="300">
        <f t="shared" si="311"/>
        <v>-137.39820409976417</v>
      </c>
      <c r="Q306" s="300">
        <f t="shared" si="311"/>
        <v>-643.24460820935337</v>
      </c>
      <c r="R306" s="300">
        <f t="shared" si="311"/>
        <v>-723.72203971620263</v>
      </c>
      <c r="S306" s="300">
        <f t="shared" si="311"/>
        <v>-754.52351231894215</v>
      </c>
      <c r="T306" s="300">
        <f t="shared" si="311"/>
        <v>-750.58563560661344</v>
      </c>
      <c r="U306" s="300">
        <f t="shared" si="311"/>
        <v>-778.69460820935308</v>
      </c>
      <c r="V306" s="300">
        <f t="shared" si="311"/>
        <v>-797.94953971620259</v>
      </c>
      <c r="W306" s="300">
        <f t="shared" si="311"/>
        <v>-826.92851231894235</v>
      </c>
      <c r="X306" s="300">
        <f t="shared" si="311"/>
        <v>-1448.1082040997642</v>
      </c>
      <c r="Y306" s="300">
        <f t="shared" si="311"/>
        <v>-1470.7085123189422</v>
      </c>
      <c r="Z306" s="300">
        <f t="shared" si="311"/>
        <v>-1483.3361150586684</v>
      </c>
      <c r="AA306" s="300">
        <f t="shared" si="311"/>
        <v>-876.92813560661364</v>
      </c>
      <c r="AB306" s="300">
        <f t="shared" si="311"/>
        <v>-2126.255772592915</v>
      </c>
      <c r="AC306" s="300">
        <f t="shared" si="311"/>
        <v>-1519.7116287572985</v>
      </c>
      <c r="AD306" s="300">
        <f t="shared" si="311"/>
        <v>-1533.4442657435998</v>
      </c>
      <c r="AE306" s="300">
        <f t="shared" si="311"/>
        <v>-923.23429999017549</v>
      </c>
      <c r="AF306" s="300">
        <f t="shared" si="311"/>
        <v>-1564.9928273874355</v>
      </c>
      <c r="AG306" s="300">
        <f t="shared" si="311"/>
        <v>-1371.7180644467214</v>
      </c>
      <c r="AH306" s="300">
        <f t="shared" si="311"/>
        <v>-1394.2555644467216</v>
      </c>
      <c r="AI306" s="300">
        <f t="shared" si="311"/>
        <v>-1417.1680644467215</v>
      </c>
      <c r="AJ306" s="300">
        <f t="shared" si="311"/>
        <v>-1440.1855644467214</v>
      </c>
      <c r="AK306" s="300">
        <f t="shared" si="311"/>
        <v>-1463.5855644467213</v>
      </c>
      <c r="AL306" s="300">
        <f t="shared" si="311"/>
        <v>-1487.6605644467215</v>
      </c>
      <c r="AM306" s="300">
        <f t="shared" si="311"/>
        <v>-1512.1105644467214</v>
      </c>
      <c r="AN306" s="300">
        <f t="shared" si="311"/>
        <v>-1536.4705644467213</v>
      </c>
      <c r="AO306" s="300">
        <f t="shared" si="311"/>
        <v>-57.725564446721322</v>
      </c>
      <c r="AP306" s="60"/>
      <c r="AQ306" s="60"/>
      <c r="AR306" s="60"/>
      <c r="AS306" s="60"/>
      <c r="AT306" s="60"/>
    </row>
    <row r="307" spans="8:46" ht="20.25" hidden="1" customHeight="1" outlineLevel="1">
      <c r="H307" s="105"/>
      <c r="I307" s="107"/>
      <c r="J307" s="300" t="b">
        <f>ROUND(J306,2)=ROUND(J300,2)</f>
        <v>1</v>
      </c>
      <c r="K307" s="300" t="b">
        <f t="shared" ref="K307:AO307" si="312">ROUND(K306,2)=ROUND(K300,2)</f>
        <v>1</v>
      </c>
      <c r="L307" s="300" t="b">
        <f t="shared" si="312"/>
        <v>1</v>
      </c>
      <c r="M307" s="300" t="b">
        <f t="shared" si="312"/>
        <v>1</v>
      </c>
      <c r="N307" s="300" t="b">
        <f t="shared" si="312"/>
        <v>1</v>
      </c>
      <c r="O307" s="300" t="b">
        <f t="shared" si="312"/>
        <v>1</v>
      </c>
      <c r="P307" s="300" t="b">
        <f t="shared" si="312"/>
        <v>1</v>
      </c>
      <c r="Q307" s="300" t="b">
        <f t="shared" si="312"/>
        <v>1</v>
      </c>
      <c r="R307" s="300" t="b">
        <f t="shared" si="312"/>
        <v>1</v>
      </c>
      <c r="S307" s="300" t="b">
        <f t="shared" si="312"/>
        <v>1</v>
      </c>
      <c r="T307" s="300" t="b">
        <f t="shared" si="312"/>
        <v>1</v>
      </c>
      <c r="U307" s="300" t="b">
        <f t="shared" si="312"/>
        <v>1</v>
      </c>
      <c r="V307" s="300" t="b">
        <f t="shared" si="312"/>
        <v>1</v>
      </c>
      <c r="W307" s="300" t="b">
        <f t="shared" si="312"/>
        <v>1</v>
      </c>
      <c r="X307" s="300" t="b">
        <f t="shared" si="312"/>
        <v>1</v>
      </c>
      <c r="Y307" s="300" t="b">
        <f t="shared" si="312"/>
        <v>1</v>
      </c>
      <c r="Z307" s="300" t="b">
        <f t="shared" si="312"/>
        <v>1</v>
      </c>
      <c r="AA307" s="300" t="b">
        <f t="shared" si="312"/>
        <v>1</v>
      </c>
      <c r="AB307" s="300" t="b">
        <f t="shared" si="312"/>
        <v>1</v>
      </c>
      <c r="AC307" s="300" t="b">
        <f t="shared" si="312"/>
        <v>1</v>
      </c>
      <c r="AD307" s="300" t="b">
        <f t="shared" si="312"/>
        <v>1</v>
      </c>
      <c r="AE307" s="300" t="b">
        <f t="shared" si="312"/>
        <v>1</v>
      </c>
      <c r="AF307" s="300" t="b">
        <f t="shared" si="312"/>
        <v>1</v>
      </c>
      <c r="AG307" s="300" t="b">
        <f t="shared" si="312"/>
        <v>1</v>
      </c>
      <c r="AH307" s="300" t="b">
        <f t="shared" si="312"/>
        <v>1</v>
      </c>
      <c r="AI307" s="300" t="b">
        <f t="shared" si="312"/>
        <v>1</v>
      </c>
      <c r="AJ307" s="300" t="b">
        <f t="shared" si="312"/>
        <v>1</v>
      </c>
      <c r="AK307" s="300" t="b">
        <f t="shared" si="312"/>
        <v>1</v>
      </c>
      <c r="AL307" s="300" t="b">
        <f t="shared" si="312"/>
        <v>1</v>
      </c>
      <c r="AM307" s="300" t="b">
        <f t="shared" si="312"/>
        <v>1</v>
      </c>
      <c r="AN307" s="300" t="b">
        <f t="shared" si="312"/>
        <v>1</v>
      </c>
      <c r="AO307" s="300" t="b">
        <f t="shared" si="312"/>
        <v>1</v>
      </c>
      <c r="AP307" s="60"/>
      <c r="AQ307" s="60"/>
      <c r="AR307" s="60"/>
      <c r="AS307" s="60"/>
      <c r="AT307" s="60"/>
    </row>
    <row r="308" spans="8:46" ht="20.25" hidden="1" customHeight="1" outlineLevel="1">
      <c r="H308" s="116" t="s">
        <v>87</v>
      </c>
      <c r="I308" s="117" t="s">
        <v>29</v>
      </c>
      <c r="J308" s="300">
        <f t="shared" ref="J308:AO308" si="313">J237+J153</f>
        <v>-47680.322138664938</v>
      </c>
      <c r="K308" s="300">
        <f t="shared" si="313"/>
        <v>-36057.167623091169</v>
      </c>
      <c r="L308" s="300">
        <f t="shared" si="313"/>
        <v>-4417.91904109589</v>
      </c>
      <c r="M308" s="300">
        <f t="shared" si="313"/>
        <v>-18086.658649305245</v>
      </c>
      <c r="N308" s="300">
        <f t="shared" si="313"/>
        <v>-21529.970689021447</v>
      </c>
      <c r="O308" s="300">
        <f t="shared" si="313"/>
        <v>-17697.401201340388</v>
      </c>
      <c r="P308" s="300">
        <f t="shared" si="313"/>
        <v>-17834.799405440153</v>
      </c>
      <c r="Q308" s="300">
        <f t="shared" si="313"/>
        <v>-18478.044013649505</v>
      </c>
      <c r="R308" s="300">
        <f t="shared" si="313"/>
        <v>-19201.766053365707</v>
      </c>
      <c r="S308" s="300">
        <f t="shared" si="313"/>
        <v>-19956.289565684649</v>
      </c>
      <c r="T308" s="300">
        <f t="shared" si="313"/>
        <v>-20706.875201291263</v>
      </c>
      <c r="U308" s="300">
        <f t="shared" si="313"/>
        <v>-21485.569809500616</v>
      </c>
      <c r="V308" s="300">
        <f t="shared" si="313"/>
        <v>-22283.519349216818</v>
      </c>
      <c r="W308" s="300">
        <f t="shared" si="313"/>
        <v>-23110.447861535762</v>
      </c>
      <c r="X308" s="300">
        <f t="shared" si="313"/>
        <v>-24558.556065635526</v>
      </c>
      <c r="Y308" s="300">
        <f t="shared" si="313"/>
        <v>-26029.264577954469</v>
      </c>
      <c r="Z308" s="300">
        <f t="shared" si="313"/>
        <v>-27512.600693013137</v>
      </c>
      <c r="AA308" s="300">
        <f t="shared" si="313"/>
        <v>-28389.52882861975</v>
      </c>
      <c r="AB308" s="300">
        <f t="shared" si="313"/>
        <v>-30515.784601212665</v>
      </c>
      <c r="AC308" s="300">
        <f t="shared" si="313"/>
        <v>-32035.496229969962</v>
      </c>
      <c r="AD308" s="300">
        <f t="shared" si="313"/>
        <v>-33568.940495713563</v>
      </c>
      <c r="AE308" s="300">
        <f t="shared" si="313"/>
        <v>-34492.174795703737</v>
      </c>
      <c r="AF308" s="300">
        <f t="shared" si="313"/>
        <v>-36057.167623091169</v>
      </c>
      <c r="AG308" s="300">
        <f t="shared" si="313"/>
        <v>-37428.885687537891</v>
      </c>
      <c r="AH308" s="300">
        <f t="shared" si="313"/>
        <v>-38823.141251984613</v>
      </c>
      <c r="AI308" s="300">
        <f t="shared" si="313"/>
        <v>-40240.309316431332</v>
      </c>
      <c r="AJ308" s="300">
        <f t="shared" si="313"/>
        <v>-41680.494880878054</v>
      </c>
      <c r="AK308" s="300">
        <f t="shared" si="313"/>
        <v>-43144.080445324777</v>
      </c>
      <c r="AL308" s="300">
        <f t="shared" si="313"/>
        <v>-44631.741009771496</v>
      </c>
      <c r="AM308" s="300">
        <f t="shared" si="313"/>
        <v>-46143.851574218221</v>
      </c>
      <c r="AN308" s="300">
        <f t="shared" si="313"/>
        <v>-47680.322138664938</v>
      </c>
      <c r="AO308" s="300">
        <f t="shared" si="313"/>
        <v>-47738.047703111661</v>
      </c>
      <c r="AP308" s="60"/>
      <c r="AQ308" s="60"/>
      <c r="AR308" s="60"/>
      <c r="AS308" s="60"/>
      <c r="AT308" s="60"/>
    </row>
    <row r="309" spans="8:46" ht="20.25" hidden="1" customHeight="1" outlineLevel="1">
      <c r="H309" s="226"/>
      <c r="I309" s="227"/>
      <c r="J309" s="300" t="b">
        <f>ROUND(J308,2)=ROUND(J301,2)</f>
        <v>1</v>
      </c>
      <c r="K309" s="300" t="b">
        <f t="shared" ref="K309:AO309" si="314">ROUND(K308,2)=ROUND(K301,2)</f>
        <v>1</v>
      </c>
      <c r="L309" s="300" t="b">
        <f t="shared" si="314"/>
        <v>1</v>
      </c>
      <c r="M309" s="300" t="b">
        <f t="shared" si="314"/>
        <v>1</v>
      </c>
      <c r="N309" s="300" t="b">
        <f t="shared" si="314"/>
        <v>1</v>
      </c>
      <c r="O309" s="300" t="b">
        <f t="shared" si="314"/>
        <v>1</v>
      </c>
      <c r="P309" s="300" t="b">
        <f t="shared" si="314"/>
        <v>1</v>
      </c>
      <c r="Q309" s="300" t="b">
        <f t="shared" si="314"/>
        <v>1</v>
      </c>
      <c r="R309" s="300" t="b">
        <f t="shared" si="314"/>
        <v>1</v>
      </c>
      <c r="S309" s="300" t="b">
        <f t="shared" si="314"/>
        <v>1</v>
      </c>
      <c r="T309" s="300" t="b">
        <f t="shared" si="314"/>
        <v>1</v>
      </c>
      <c r="U309" s="300" t="b">
        <f t="shared" si="314"/>
        <v>1</v>
      </c>
      <c r="V309" s="300" t="b">
        <f t="shared" si="314"/>
        <v>1</v>
      </c>
      <c r="W309" s="300" t="b">
        <f t="shared" si="314"/>
        <v>1</v>
      </c>
      <c r="X309" s="300" t="b">
        <f t="shared" si="314"/>
        <v>1</v>
      </c>
      <c r="Y309" s="300" t="b">
        <f t="shared" si="314"/>
        <v>1</v>
      </c>
      <c r="Z309" s="300" t="b">
        <f t="shared" si="314"/>
        <v>1</v>
      </c>
      <c r="AA309" s="300" t="b">
        <f t="shared" si="314"/>
        <v>1</v>
      </c>
      <c r="AB309" s="300" t="b">
        <f t="shared" si="314"/>
        <v>1</v>
      </c>
      <c r="AC309" s="300" t="b">
        <f t="shared" si="314"/>
        <v>1</v>
      </c>
      <c r="AD309" s="300" t="b">
        <f t="shared" si="314"/>
        <v>1</v>
      </c>
      <c r="AE309" s="300" t="b">
        <f t="shared" si="314"/>
        <v>1</v>
      </c>
      <c r="AF309" s="300" t="b">
        <f t="shared" si="314"/>
        <v>1</v>
      </c>
      <c r="AG309" s="300" t="b">
        <f t="shared" si="314"/>
        <v>1</v>
      </c>
      <c r="AH309" s="300" t="b">
        <f t="shared" si="314"/>
        <v>1</v>
      </c>
      <c r="AI309" s="300" t="b">
        <f t="shared" si="314"/>
        <v>1</v>
      </c>
      <c r="AJ309" s="300" t="b">
        <f t="shared" si="314"/>
        <v>1</v>
      </c>
      <c r="AK309" s="300" t="b">
        <f t="shared" si="314"/>
        <v>1</v>
      </c>
      <c r="AL309" s="300" t="b">
        <f t="shared" si="314"/>
        <v>1</v>
      </c>
      <c r="AM309" s="300" t="b">
        <f t="shared" si="314"/>
        <v>1</v>
      </c>
      <c r="AN309" s="300" t="b">
        <f t="shared" si="314"/>
        <v>1</v>
      </c>
      <c r="AO309" s="300" t="b">
        <f t="shared" si="314"/>
        <v>1</v>
      </c>
      <c r="AP309" s="60"/>
      <c r="AQ309" s="60"/>
      <c r="AR309" s="60"/>
      <c r="AS309" s="60"/>
      <c r="AT309" s="60"/>
    </row>
    <row r="310" spans="8:46" ht="20.25" customHeight="1" collapsed="1"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  <c r="AH310" s="60"/>
      <c r="AI310" s="60"/>
      <c r="AJ310" s="60"/>
      <c r="AK310" s="60"/>
      <c r="AL310" s="60"/>
      <c r="AM310" s="60"/>
      <c r="AN310" s="60"/>
      <c r="AO310" s="60"/>
      <c r="AP310" s="60"/>
      <c r="AQ310" s="60"/>
      <c r="AR310" s="60"/>
      <c r="AS310" s="60"/>
      <c r="AT310" s="60"/>
    </row>
    <row r="311" spans="8:46" ht="20.25" customHeight="1">
      <c r="H311" s="362" t="s">
        <v>88</v>
      </c>
      <c r="I311" s="363"/>
      <c r="J311" s="177" t="str">
        <f ca="1">IFERROR(IF(ROUND(MIN(OFFSET(K301,,,,MAX(SUM($L$18:$AO$18),1))),2)&lt;0,"Q","R"),"Q")</f>
        <v>Q</v>
      </c>
      <c r="K311" s="128"/>
      <c r="L311" s="300"/>
      <c r="M311" s="300"/>
      <c r="N311" s="300"/>
      <c r="O311" s="300"/>
      <c r="P311" s="300"/>
      <c r="Q311" s="300"/>
      <c r="R311" s="300"/>
      <c r="S311" s="300"/>
      <c r="T311" s="300"/>
      <c r="U311" s="300"/>
      <c r="V311" s="300"/>
      <c r="W311" s="300"/>
      <c r="X311" s="300"/>
      <c r="Y311" s="300"/>
      <c r="Z311" s="300"/>
      <c r="AA311" s="300"/>
      <c r="AB311" s="300"/>
      <c r="AC311" s="300"/>
      <c r="AD311" s="300"/>
      <c r="AE311" s="300"/>
      <c r="AF311" s="300"/>
      <c r="AG311" s="300"/>
      <c r="AH311" s="300"/>
      <c r="AI311" s="300"/>
      <c r="AJ311" s="300"/>
      <c r="AK311" s="300"/>
      <c r="AL311" s="300"/>
      <c r="AM311" s="300"/>
      <c r="AN311" s="300"/>
      <c r="AO311" s="300"/>
      <c r="AP311" s="60"/>
      <c r="AQ311" s="60"/>
      <c r="AR311" s="60"/>
      <c r="AS311" s="60"/>
      <c r="AT311" s="60"/>
    </row>
    <row r="312" spans="8:46" ht="20.25" customHeight="1">
      <c r="H312" s="362" t="s">
        <v>89</v>
      </c>
      <c r="I312" s="363"/>
      <c r="J312" s="177" t="str">
        <f ca="1">IFERROR(IF(ROUND(MIN(OFFSET(J301,,,,MAX(SUM($L$19:$AO$19),1))),2)&lt;0,"Q","R"),"Q")</f>
        <v>Q</v>
      </c>
      <c r="K312" s="128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  <c r="AE312" s="60"/>
      <c r="AF312" s="60"/>
      <c r="AG312" s="60"/>
      <c r="AH312" s="60"/>
      <c r="AI312" s="60"/>
      <c r="AJ312" s="60"/>
      <c r="AK312" s="60"/>
      <c r="AL312" s="60"/>
      <c r="AM312" s="60"/>
      <c r="AN312" s="60"/>
      <c r="AO312" s="60"/>
      <c r="AP312" s="60"/>
      <c r="AQ312" s="60"/>
      <c r="AR312" s="60"/>
      <c r="AS312" s="60"/>
      <c r="AT312" s="60"/>
    </row>
    <row r="313" spans="8:46" ht="20.25" customHeight="1"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  <c r="AI313" s="60"/>
      <c r="AJ313" s="60"/>
      <c r="AK313" s="60"/>
      <c r="AL313" s="60"/>
      <c r="AM313" s="60"/>
      <c r="AN313" s="60"/>
      <c r="AO313" s="60"/>
      <c r="AP313" s="60"/>
      <c r="AQ313" s="60"/>
      <c r="AR313" s="60"/>
      <c r="AS313" s="60"/>
      <c r="AT313" s="60"/>
    </row>
  </sheetData>
  <sheetProtection algorithmName="SHA-512" hashValue="4ZG2XhTPSYKn5KMEYR4D24DFa0o91tjJ9JUvK8RV/y1IIrqQA9Ev6T4gWqSvfPCwWYU1VezfuDbKYszoyJbnJg==" saltValue="Afvb/KEvT7b9eyiDJBtN2A==" spinCount="100000" sheet="1" objects="1" scenarios="1"/>
  <mergeCells count="16">
    <mergeCell ref="C33:C36"/>
    <mergeCell ref="D33:D36"/>
    <mergeCell ref="E33:E36"/>
    <mergeCell ref="F33:F36"/>
    <mergeCell ref="B33:B36"/>
    <mergeCell ref="H10:H12"/>
    <mergeCell ref="I10:I12"/>
    <mergeCell ref="J10:J12"/>
    <mergeCell ref="L8:O8"/>
    <mergeCell ref="K10:K12"/>
    <mergeCell ref="H312:I312"/>
    <mergeCell ref="H155:I155"/>
    <mergeCell ref="H156:I156"/>
    <mergeCell ref="H239:I239"/>
    <mergeCell ref="H240:I240"/>
    <mergeCell ref="H311:I311"/>
  </mergeCells>
  <conditionalFormatting sqref="G37:G56">
    <cfRule type="cellIs" dxfId="17" priority="8" operator="equal">
      <formula>1</formula>
    </cfRule>
  </conditionalFormatting>
  <conditionalFormatting sqref="G99:G118">
    <cfRule type="cellIs" dxfId="16" priority="7" operator="equal">
      <formula>1</formula>
    </cfRule>
  </conditionalFormatting>
  <conditionalFormatting sqref="J155:J156">
    <cfRule type="cellIs" dxfId="15" priority="5" operator="equal">
      <formula>"Q"</formula>
    </cfRule>
    <cfRule type="cellIs" dxfId="14" priority="6" operator="equal">
      <formula>"R"</formula>
    </cfRule>
  </conditionalFormatting>
  <conditionalFormatting sqref="J239:J240">
    <cfRule type="cellIs" dxfId="13" priority="3" operator="equal">
      <formula>"Q"</formula>
    </cfRule>
    <cfRule type="cellIs" dxfId="12" priority="4" operator="equal">
      <formula>"R"</formula>
    </cfRule>
  </conditionalFormatting>
  <conditionalFormatting sqref="J311:J312">
    <cfRule type="cellIs" dxfId="11" priority="1" operator="equal">
      <formula>"Q"</formula>
    </cfRule>
    <cfRule type="cellIs" dxfId="10" priority="2" operator="equal">
      <formula>"R"</formula>
    </cfRule>
  </conditionalFormatting>
  <conditionalFormatting sqref="L16:AO16">
    <cfRule type="cellIs" dxfId="9" priority="9" operator="equal">
      <formula>1</formula>
    </cfRule>
  </conditionalFormatting>
  <conditionalFormatting sqref="L18:AO20">
    <cfRule type="cellIs" dxfId="8" priority="12" operator="equal">
      <formula>1</formula>
    </cfRule>
  </conditionalFormatting>
  <hyperlinks>
    <hyperlink ref="L8:O8" r:id="rId1" tooltip="Написать в Техподдержку" display="Техподдержка финансовой модели Фонда: fm@frprf.ru" xr:uid="{00000000-0004-0000-0600-000000000000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79998168889431442"/>
  </sheetPr>
  <dimension ref="B5:Q177"/>
  <sheetViews>
    <sheetView zoomScale="80" zoomScaleNormal="80" workbookViewId="0">
      <pane xSplit="3" ySplit="10" topLeftCell="D11" activePane="bottomRight" state="frozen"/>
      <selection pane="topRight" activeCell="D1" sqref="D1"/>
      <selection pane="bottomLeft" activeCell="A7" sqref="A7"/>
      <selection pane="bottomRight" activeCell="E16" sqref="E16"/>
    </sheetView>
  </sheetViews>
  <sheetFormatPr defaultColWidth="9.140625" defaultRowHeight="15"/>
  <cols>
    <col min="1" max="1" width="9.140625" style="1"/>
    <col min="2" max="2" width="55.5703125" style="1" customWidth="1"/>
    <col min="3" max="3" width="12.85546875" style="1" customWidth="1"/>
    <col min="4" max="4" width="13.42578125" style="1" customWidth="1"/>
    <col min="5" max="5" width="14.85546875" style="1" customWidth="1"/>
    <col min="6" max="7" width="11.5703125" style="1" customWidth="1"/>
    <col min="8" max="8" width="14.5703125" style="1" customWidth="1"/>
    <col min="9" max="9" width="14.140625" style="1" customWidth="1"/>
    <col min="10" max="10" width="13.85546875" style="1" customWidth="1"/>
    <col min="11" max="13" width="14.140625" style="1" customWidth="1"/>
    <col min="14" max="14" width="11.5703125" style="1" customWidth="1"/>
    <col min="15" max="16384" width="9.140625" style="1"/>
  </cols>
  <sheetData>
    <row r="5" spans="2:17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2:17" ht="15" customHeight="1"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7" spans="2:17"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</row>
    <row r="8" spans="2:17"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</row>
    <row r="9" spans="2:17" ht="31.5">
      <c r="B9" s="110" t="s">
        <v>430</v>
      </c>
      <c r="C9" s="60"/>
      <c r="D9" s="60"/>
      <c r="E9" s="110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</row>
    <row r="10" spans="2:17" ht="30">
      <c r="B10" s="127" t="s">
        <v>62</v>
      </c>
      <c r="C10" s="127" t="s">
        <v>63</v>
      </c>
      <c r="D10" s="119" t="s">
        <v>279</v>
      </c>
      <c r="E10" s="119" t="s">
        <v>280</v>
      </c>
      <c r="F10" s="119">
        <f>Предпосылки!C379</f>
        <v>2026</v>
      </c>
      <c r="G10" s="119">
        <f>Предпосылки!D379</f>
        <v>2027</v>
      </c>
      <c r="H10" s="119">
        <f>Предпосылки!E379</f>
        <v>2028</v>
      </c>
      <c r="I10" s="119">
        <f>Предпосылки!F379</f>
        <v>2029</v>
      </c>
      <c r="J10" s="119">
        <f>Предпосылки!G379</f>
        <v>2030</v>
      </c>
      <c r="K10" s="119">
        <f>Предпосылки!H379</f>
        <v>2031</v>
      </c>
      <c r="L10" s="119">
        <f>Предпосылки!I379</f>
        <v>2032</v>
      </c>
      <c r="M10" s="119">
        <f>Предпосылки!J379</f>
        <v>2033</v>
      </c>
      <c r="N10" s="119">
        <f>Предпосылки!K379</f>
        <v>2034</v>
      </c>
      <c r="O10" s="60"/>
      <c r="P10" s="60"/>
      <c r="Q10" s="60"/>
    </row>
    <row r="11" spans="2:17"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</row>
    <row r="12" spans="2:17" ht="31.5">
      <c r="B12" s="110" t="s">
        <v>72</v>
      </c>
      <c r="C12" s="60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</row>
    <row r="13" spans="2:17" ht="21">
      <c r="B13" s="61" t="s">
        <v>74</v>
      </c>
      <c r="C13" s="60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</row>
    <row r="14" spans="2:17" ht="15.75">
      <c r="B14" s="123" t="s">
        <v>75</v>
      </c>
      <c r="C14" s="124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59"/>
      <c r="P14" s="59"/>
      <c r="Q14" s="59"/>
    </row>
    <row r="15" spans="2:17">
      <c r="B15" s="113" t="s">
        <v>76</v>
      </c>
      <c r="C15" s="114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60"/>
      <c r="Q15" s="60"/>
    </row>
    <row r="16" spans="2:17" ht="20.25" customHeight="1">
      <c r="B16" s="105" t="s">
        <v>233</v>
      </c>
      <c r="C16" s="107" t="s">
        <v>29</v>
      </c>
      <c r="D16" s="108">
        <f>'Квартальная отчетность'!J35</f>
        <v>0</v>
      </c>
      <c r="E16" s="108">
        <f>'Квартальная отчетность'!K35</f>
        <v>0</v>
      </c>
      <c r="F16" s="108">
        <f>SUMIF('Квартальная отчетность'!$L$13:$AO$13,F$10,'Квартальная отчетность'!$L35:$AO35)</f>
        <v>0</v>
      </c>
      <c r="G16" s="108">
        <f>SUMIF('Квартальная отчетность'!$L$13:$AO$13,G$10,'Квартальная отчетность'!$L35:$AO35)</f>
        <v>0</v>
      </c>
      <c r="H16" s="108">
        <f>SUMIF('Квартальная отчетность'!$L$13:$AO$13,H$10,'Квартальная отчетность'!$L35:$AO35)</f>
        <v>0</v>
      </c>
      <c r="I16" s="108">
        <f>SUMIF('Квартальная отчетность'!$L$13:$AO$13,I$10,'Квартальная отчетность'!$L35:$AO35)</f>
        <v>0</v>
      </c>
      <c r="J16" s="108">
        <f>SUMIF('Квартальная отчетность'!$L$13:$AO$13,J$10,'Квартальная отчетность'!$L35:$AO35)</f>
        <v>0</v>
      </c>
      <c r="K16" s="108">
        <f>SUMIF('Квартальная отчетность'!$L$13:$AO$13,K$10,'Квартальная отчетность'!$L35:$AO35)</f>
        <v>0</v>
      </c>
      <c r="L16" s="108">
        <f>SUMIF('Квартальная отчетность'!$L$13:$AO$13,L$10,'Квартальная отчетность'!$L35:$AO35)</f>
        <v>0</v>
      </c>
      <c r="M16" s="108">
        <f>SUMIF('Квартальная отчетность'!$L$13:$AO$13,M$10,'Квартальная отчетность'!$L35:$AO35)</f>
        <v>0</v>
      </c>
      <c r="N16" s="108">
        <f>SUMIF('Квартальная отчетность'!$L$13:$AO$13,N$10,'Квартальная отчетность'!$L35:$AO35)</f>
        <v>0</v>
      </c>
      <c r="O16" s="60"/>
      <c r="P16" s="60"/>
      <c r="Q16" s="60"/>
    </row>
    <row r="17" spans="2:17" ht="20.25" customHeight="1">
      <c r="B17" s="105" t="s">
        <v>234</v>
      </c>
      <c r="C17" s="107" t="s">
        <v>29</v>
      </c>
      <c r="D17" s="108">
        <f>'Квартальная отчетность'!J36</f>
        <v>4617.8680000000013</v>
      </c>
      <c r="E17" s="108">
        <f>'Квартальная отчетность'!K36</f>
        <v>4617.8680000000013</v>
      </c>
      <c r="F17" s="108">
        <f>SUMIF('Квартальная отчетность'!$L$13:$AO$13,F10,'Квартальная отчетность'!$L36:$AO36)</f>
        <v>4617.8680000000013</v>
      </c>
      <c r="G17" s="108">
        <f>SUMIF('Квартальная отчетность'!$L$13:$AO$13,G10,'Квартальная отчетность'!$L36:$AO36)</f>
        <v>0</v>
      </c>
      <c r="H17" s="108">
        <f>SUMIF('Квартальная отчетность'!$L$13:$AO$13,H10,'Квартальная отчетность'!$L36:$AO36)</f>
        <v>0</v>
      </c>
      <c r="I17" s="108">
        <f>SUMIF('Квартальная отчетность'!$L$13:$AO$13,I10,'Квартальная отчетность'!$L36:$AO36)</f>
        <v>0</v>
      </c>
      <c r="J17" s="108">
        <f>SUMIF('Квартальная отчетность'!$L$13:$AO$13,J10,'Квартальная отчетность'!$L36:$AO36)</f>
        <v>0</v>
      </c>
      <c r="K17" s="108">
        <f>SUMIF('Квартальная отчетность'!$L$13:$AO$13,K10,'Квартальная отчетность'!$L36:$AO36)</f>
        <v>0</v>
      </c>
      <c r="L17" s="108">
        <f>SUMIF('Квартальная отчетность'!$L$13:$AO$13,L10,'Квартальная отчетность'!$L36:$AO36)</f>
        <v>0</v>
      </c>
      <c r="M17" s="108">
        <f>SUMIF('Квартальная отчетность'!$L$13:$AO$13,M10,'Квартальная отчетность'!$L36:$AO36)</f>
        <v>0</v>
      </c>
      <c r="N17" s="108">
        <f>SUMIF('Квартальная отчетность'!$L$13:$AO$13,N10,'Квартальная отчетность'!$L36:$AO36)</f>
        <v>0</v>
      </c>
      <c r="O17" s="60"/>
      <c r="P17" s="60"/>
      <c r="Q17" s="60"/>
    </row>
    <row r="18" spans="2:17" ht="20.25" customHeight="1">
      <c r="B18" s="120" t="s">
        <v>71</v>
      </c>
      <c r="C18" s="121" t="s">
        <v>29</v>
      </c>
      <c r="D18" s="215">
        <f t="shared" ref="D18:E18" si="0">SUM(D16:D17)</f>
        <v>4617.8680000000013</v>
      </c>
      <c r="E18" s="215">
        <f t="shared" si="0"/>
        <v>4617.8680000000013</v>
      </c>
      <c r="F18" s="215">
        <f>SUM(F16:F17)</f>
        <v>4617.8680000000013</v>
      </c>
      <c r="G18" s="215">
        <f t="shared" ref="G18:N18" si="1">SUM(G16:G17)</f>
        <v>0</v>
      </c>
      <c r="H18" s="215">
        <f t="shared" si="1"/>
        <v>0</v>
      </c>
      <c r="I18" s="215">
        <f t="shared" si="1"/>
        <v>0</v>
      </c>
      <c r="J18" s="215">
        <f t="shared" si="1"/>
        <v>0</v>
      </c>
      <c r="K18" s="215">
        <f t="shared" si="1"/>
        <v>0</v>
      </c>
      <c r="L18" s="215">
        <f t="shared" si="1"/>
        <v>0</v>
      </c>
      <c r="M18" s="215">
        <f t="shared" si="1"/>
        <v>0</v>
      </c>
      <c r="N18" s="215">
        <f t="shared" si="1"/>
        <v>0</v>
      </c>
      <c r="O18" s="60"/>
      <c r="P18" s="60"/>
      <c r="Q18" s="60"/>
    </row>
    <row r="19" spans="2:17" ht="10.9" customHeight="1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</row>
    <row r="20" spans="2:17" ht="20.25" customHeight="1">
      <c r="B20" s="113" t="s">
        <v>77</v>
      </c>
      <c r="C20" s="114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60"/>
      <c r="Q20" s="60"/>
    </row>
    <row r="21" spans="2:17" ht="20.25" customHeight="1">
      <c r="B21" s="105" t="s">
        <v>235</v>
      </c>
      <c r="C21" s="107" t="s">
        <v>29</v>
      </c>
      <c r="D21" s="108">
        <f>'Квартальная отчетность'!J60</f>
        <v>3783.4699999999993</v>
      </c>
      <c r="E21" s="108">
        <f>'Квартальная отчетность'!K60</f>
        <v>3783.4699999999993</v>
      </c>
      <c r="F21" s="108">
        <f>SUMIF('Квартальная отчетность'!$L$13:$AO$13,F10,'Квартальная отчетность'!$L60:$AO60)</f>
        <v>4296.2299999999996</v>
      </c>
      <c r="G21" s="108">
        <f>SUMIF('Квартальная отчетность'!$L$13:$AO$13,G10,'Квартальная отчетность'!$L60:$AO60)</f>
        <v>-120.67</v>
      </c>
      <c r="H21" s="108">
        <f>SUMIF('Квартальная отчетность'!$L$13:$AO$13,H10,'Квартальная отчетность'!$L60:$AO60)</f>
        <v>-121</v>
      </c>
      <c r="I21" s="108">
        <f>SUMIF('Квартальная отчетность'!$L$13:$AO$13,I10,'Квартальная отчетность'!$L60:$AO60)</f>
        <v>-120.67</v>
      </c>
      <c r="J21" s="108">
        <f>SUMIF('Квартальная отчетность'!$L$13:$AO$13,J10,'Квартальная отчетность'!$L60:$AO60)</f>
        <v>-120.67</v>
      </c>
      <c r="K21" s="108">
        <f>SUMIF('Квартальная отчетность'!$L$13:$AO$13,K10,'Квартальная отчетность'!$L60:$AO60)</f>
        <v>-29.75</v>
      </c>
      <c r="L21" s="108">
        <f>SUMIF('Квартальная отчетность'!$L$13:$AO$13,L10,'Квартальная отчетность'!$L60:$AO60)</f>
        <v>0</v>
      </c>
      <c r="M21" s="108">
        <f>SUMIF('Квартальная отчетность'!$L$13:$AO$13,M10,'Квартальная отчетность'!$L60:$AO60)</f>
        <v>0</v>
      </c>
      <c r="N21" s="108">
        <f>SUMIF('Квартальная отчетность'!$L$13:$AO$13,N10,'Квартальная отчетность'!$L60:$AO60)</f>
        <v>0</v>
      </c>
      <c r="O21" s="60"/>
      <c r="P21" s="60"/>
      <c r="Q21" s="60"/>
    </row>
    <row r="22" spans="2:17" ht="20.25" customHeight="1">
      <c r="B22" s="105" t="s">
        <v>236</v>
      </c>
      <c r="C22" s="107" t="s">
        <v>29</v>
      </c>
      <c r="D22" s="108">
        <f>'Квартальная отчетность'!J74</f>
        <v>-30789.759999999998</v>
      </c>
      <c r="E22" s="108">
        <f>'Квартальная отчетность'!K74</f>
        <v>-20157.71</v>
      </c>
      <c r="F22" s="108">
        <f>SUMIF('Квартальная отчетность'!$L$13:$AO$13,F10,'Квартальная отчетность'!$L74:$AO74)</f>
        <v>-1827</v>
      </c>
      <c r="G22" s="108">
        <f>SUMIF('Квартальная отчетность'!$L$13:$AO$13,G10,'Квартальная отчетность'!$L74:$AO74)</f>
        <v>-3839.5299999999997</v>
      </c>
      <c r="H22" s="108">
        <f>SUMIF('Квартальная отчетность'!$L$13:$AO$13,H10,'Квартальная отчетность'!$L74:$AO74)</f>
        <v>-4125.66</v>
      </c>
      <c r="I22" s="108">
        <f>SUMIF('Квартальная отчетность'!$L$13:$AO$13,I10,'Квартальная отчетность'!$L74:$AO74)</f>
        <v>-4413.2300000000005</v>
      </c>
      <c r="J22" s="108">
        <f>SUMIF('Квартальная отчетность'!$L$13:$AO$13,J10,'Квартальная отчетность'!$L74:$AO74)</f>
        <v>-4721.4400000000005</v>
      </c>
      <c r="K22" s="108">
        <f>SUMIF('Квартальная отчетность'!$L$13:$AO$13,K10,'Квартальная отчетность'!$L74:$AO74)</f>
        <v>-5050.66</v>
      </c>
      <c r="L22" s="108">
        <f>SUMIF('Квартальная отчетность'!$L$13:$AO$13,L10,'Квартальная отчетность'!$L74:$AO74)</f>
        <v>-5403.62</v>
      </c>
      <c r="M22" s="108">
        <f>SUMIF('Квартальная отчетность'!$L$13:$AO$13,M10,'Квартальная отчетность'!$L74:$AO74)</f>
        <v>-1408.62</v>
      </c>
      <c r="N22" s="108">
        <f>SUMIF('Квартальная отчетность'!$L$13:$AO$13,N10,'Квартальная отчетность'!$L74:$AO74)</f>
        <v>0</v>
      </c>
      <c r="O22" s="60"/>
      <c r="P22" s="60"/>
      <c r="Q22" s="60"/>
    </row>
    <row r="23" spans="2:17" ht="20.25" customHeight="1">
      <c r="B23" s="105" t="s">
        <v>237</v>
      </c>
      <c r="C23" s="107" t="s">
        <v>29</v>
      </c>
      <c r="D23" s="108">
        <f>'Квартальная отчетность'!J77</f>
        <v>791.97</v>
      </c>
      <c r="E23" s="108">
        <f>'Квартальная отчетность'!K77</f>
        <v>791.97</v>
      </c>
      <c r="F23" s="108">
        <f>SUMIF('Квартальная отчетность'!$L$13:$AO$13,F10,'Квартальная отчетность'!$L77:$AO77)</f>
        <v>0</v>
      </c>
      <c r="G23" s="108">
        <f>SUMIF('Квартальная отчетность'!$L$13:$AO$13,G10,'Квартальная отчетность'!$L77:$AO77)</f>
        <v>791.97</v>
      </c>
      <c r="H23" s="108">
        <f>SUMIF('Квартальная отчетность'!$L$13:$AO$13,H10,'Квартальная отчетность'!$L77:$AO77)</f>
        <v>0</v>
      </c>
      <c r="I23" s="108">
        <f>SUMIF('Квартальная отчетность'!$L$13:$AO$13,I10,'Квартальная отчетность'!$L77:$AO77)</f>
        <v>0</v>
      </c>
      <c r="J23" s="108">
        <f>SUMIF('Квартальная отчетность'!$L$13:$AO$13,J10,'Квартальная отчетность'!$L77:$AO77)</f>
        <v>0</v>
      </c>
      <c r="K23" s="108">
        <f>SUMIF('Квартальная отчетность'!$L$13:$AO$13,K10,'Квартальная отчетность'!$L77:$AO77)</f>
        <v>0</v>
      </c>
      <c r="L23" s="108">
        <f>SUMIF('Квартальная отчетность'!$L$13:$AO$13,L10,'Квартальная отчетность'!$L77:$AO77)</f>
        <v>0</v>
      </c>
      <c r="M23" s="108">
        <f>SUMIF('Квартальная отчетность'!$L$13:$AO$13,M10,'Квартальная отчетность'!$L77:$AO77)</f>
        <v>0</v>
      </c>
      <c r="N23" s="108">
        <f>SUMIF('Квартальная отчетность'!$L$13:$AO$13,N10,'Квартальная отчетность'!$L77:$AO77)</f>
        <v>0</v>
      </c>
      <c r="O23" s="60"/>
      <c r="P23" s="60"/>
      <c r="Q23" s="60"/>
    </row>
    <row r="24" spans="2:17" ht="20.25" customHeight="1">
      <c r="B24" s="105" t="s">
        <v>238</v>
      </c>
      <c r="C24" s="107" t="s">
        <v>29</v>
      </c>
      <c r="D24" s="108">
        <f>'Квартальная отчетность'!J82</f>
        <v>-2155.0877393442638</v>
      </c>
      <c r="E24" s="108">
        <f>'Квартальная отчетность'!K82</f>
        <v>-1539.3483852459026</v>
      </c>
      <c r="F24" s="108">
        <f>SUMIF('Квартальная отчетность'!$L$13:$AO$13,F10,'Квартальная отчетность'!$L82:$AO82)</f>
        <v>-230.90225778688529</v>
      </c>
      <c r="G24" s="108">
        <f>SUMIF('Квартальная отчетность'!$L$13:$AO$13,G10,'Квартальная отчетность'!$L82:$AO82)</f>
        <v>-307.86967704918038</v>
      </c>
      <c r="H24" s="108">
        <f>SUMIF('Квартальная отчетность'!$L$13:$AO$13,H10,'Квартальная отчетность'!$L82:$AO82)</f>
        <v>-307.86967704918038</v>
      </c>
      <c r="I24" s="108">
        <f>SUMIF('Квартальная отчетность'!$L$13:$AO$13,I10,'Квартальная отчетность'!$L82:$AO82)</f>
        <v>-307.86967704918038</v>
      </c>
      <c r="J24" s="108">
        <f>SUMIF('Квартальная отчетность'!$L$13:$AO$13,J10,'Квартальная отчетность'!$L82:$AO82)</f>
        <v>-307.86967704918038</v>
      </c>
      <c r="K24" s="108">
        <f>SUMIF('Квартальная отчетность'!$L$13:$AO$13,K10,'Квартальная отчетность'!$L82:$AO82)</f>
        <v>-307.86967704918038</v>
      </c>
      <c r="L24" s="108">
        <f>SUMIF('Квартальная отчетность'!$L$13:$AO$13,L10,'Квартальная отчетность'!$L82:$AO82)</f>
        <v>-307.86967704918038</v>
      </c>
      <c r="M24" s="108">
        <f>SUMIF('Квартальная отчетность'!$L$13:$AO$13,M10,'Квартальная отчетность'!$L82:$AO82)</f>
        <v>-153.93483852459019</v>
      </c>
      <c r="N24" s="108">
        <f>SUMIF('Квартальная отчетность'!$L$13:$AO$13,N10,'Квартальная отчетность'!$L82:$AO82)</f>
        <v>0</v>
      </c>
      <c r="O24" s="60"/>
      <c r="P24" s="60"/>
      <c r="Q24" s="60"/>
    </row>
    <row r="25" spans="2:17" ht="20.25" customHeight="1">
      <c r="B25" s="105" t="str">
        <f>'Квартальная отчетность'!H83</f>
        <v>Уплата налога на прибыль (-)</v>
      </c>
      <c r="C25" s="107" t="s">
        <v>29</v>
      </c>
      <c r="D25" s="108">
        <f>'Квартальная отчетность'!J83</f>
        <v>18915.193902049181</v>
      </c>
      <c r="E25" s="108">
        <f>'Квартальная отчетность'!K83</f>
        <v>15040.80906352459</v>
      </c>
      <c r="F25" s="108">
        <f>SUMIF('Квартальная отчетность'!$L$13:$AO$13,F10,'Квартальная отчетность'!$L83:$AO83)</f>
        <v>934.90223452868872</v>
      </c>
      <c r="G25" s="108">
        <f>SUMIF('Квартальная отчетность'!$L$13:$AO$13,G10,'Квартальная отчетность'!$L83:$AO83)</f>
        <v>3001.9213127049179</v>
      </c>
      <c r="H25" s="108">
        <f>SUMIF('Квартальная отчетность'!$L$13:$AO$13,H10,'Квартальная отчетность'!$L83:$AO83)</f>
        <v>3300.1163127049176</v>
      </c>
      <c r="I25" s="108">
        <f>SUMIF('Квартальная отчетность'!$L$13:$AO$13,I10,'Квартальная отчетность'!$L83:$AO83)</f>
        <v>3400.6613127049186</v>
      </c>
      <c r="J25" s="108">
        <f>SUMIF('Квартальная отчетность'!$L$13:$AO$13,J10,'Квартальная отчетность'!$L83:$AO83)</f>
        <v>3508.5163127049182</v>
      </c>
      <c r="K25" s="108">
        <f>SUMIF('Квартальная отчетность'!$L$13:$AO$13,K10,'Квартальная отчетность'!$L83:$AO83)</f>
        <v>2289.0721426229511</v>
      </c>
      <c r="L25" s="108">
        <f>SUMIF('Квартальная отчетность'!$L$13:$AO$13,L10,'Квартальная отчетность'!$L83:$AO83)</f>
        <v>1967.8474192622953</v>
      </c>
      <c r="M25" s="108">
        <f>SUMIF('Квартальная отчетность'!$L$13:$AO$13,M10,'Квартальная отчетность'!$L83:$AO83)</f>
        <v>531.39870963114754</v>
      </c>
      <c r="N25" s="108">
        <f>SUMIF('Квартальная отчетность'!$L$13:$AO$13,N10,'Квартальная отчетность'!$L83:$AO83)</f>
        <v>0</v>
      </c>
      <c r="O25" s="60"/>
      <c r="P25" s="60"/>
      <c r="Q25" s="60"/>
    </row>
    <row r="26" spans="2:17" ht="20.25" customHeight="1">
      <c r="B26" s="105" t="s">
        <v>240</v>
      </c>
      <c r="C26" s="107" t="s">
        <v>29</v>
      </c>
      <c r="D26" s="108">
        <f>'Квартальная отчетность'!J123</f>
        <v>-4600.7600000000011</v>
      </c>
      <c r="E26" s="108">
        <f>'Квартальная отчетность'!K123</f>
        <v>-3012.0600000000004</v>
      </c>
      <c r="F26" s="108">
        <f>SUMIF('Квартальная отчетность'!$L$13:$AO$13,F10,'Квартальная отчетность'!$L123:$AO123)</f>
        <v>-273</v>
      </c>
      <c r="G26" s="108">
        <f>SUMIF('Квартальная отчетность'!$L$13:$AO$13,G10,'Квартальная отчетность'!$L123:$AO123)</f>
        <v>-573.73</v>
      </c>
      <c r="H26" s="108">
        <f>SUMIF('Квартальная отчетность'!$L$13:$AO$13,H10,'Квартальная отчетность'!$L123:$AO123)</f>
        <v>-616.47</v>
      </c>
      <c r="I26" s="108">
        <f>SUMIF('Квартальная отчетность'!$L$13:$AO$13,I10,'Квартальная отчетность'!$L123:$AO123)</f>
        <v>-659.44</v>
      </c>
      <c r="J26" s="108">
        <f>SUMIF('Квартальная отчетность'!$L$13:$AO$13,J10,'Квартальная отчетность'!$L123:$AO123)</f>
        <v>-705.5</v>
      </c>
      <c r="K26" s="108">
        <f>SUMIF('Квартальная отчетность'!$L$13:$AO$13,K10,'Квартальная отчетность'!$L123:$AO123)</f>
        <v>-754.69</v>
      </c>
      <c r="L26" s="108">
        <f>SUMIF('Квартальная отчетность'!$L$13:$AO$13,L10,'Квартальная отчетность'!$L123:$AO123)</f>
        <v>-807.44999999999993</v>
      </c>
      <c r="M26" s="108">
        <f>SUMIF('Квартальная отчетность'!$L$13:$AO$13,M10,'Квартальная отчетность'!$L123:$AO123)</f>
        <v>-210.48</v>
      </c>
      <c r="N26" s="108">
        <f>SUMIF('Квартальная отчетность'!$L$13:$AO$13,N10,'Квартальная отчетность'!$L123:$AO123)</f>
        <v>0</v>
      </c>
      <c r="O26" s="60"/>
      <c r="P26" s="60"/>
      <c r="Q26" s="60"/>
    </row>
    <row r="27" spans="2:17" ht="20.25" customHeight="1">
      <c r="B27" s="105" t="s">
        <v>241</v>
      </c>
      <c r="C27" s="107" t="s">
        <v>29</v>
      </c>
      <c r="D27" s="108">
        <f>'Квартальная отчетность'!J124</f>
        <v>-7706.2300000000005</v>
      </c>
      <c r="E27" s="108">
        <f>'Квартальная отчетность'!K124</f>
        <v>-5045.18</v>
      </c>
      <c r="F27" s="108">
        <f>SUMIF('Квартальная отчетность'!$L$13:$AO$13,F10,'Квартальная отчетность'!$L124:$AO124)</f>
        <v>-457.28</v>
      </c>
      <c r="G27" s="108">
        <f>SUMIF('Квартальная отчетность'!$L$13:$AO$13,G10,'Квартальная отчетность'!$L124:$AO124)</f>
        <v>-960.98</v>
      </c>
      <c r="H27" s="108">
        <f>SUMIF('Квартальная отчетность'!$L$13:$AO$13,H10,'Квартальная отчетность'!$L124:$AO124)</f>
        <v>-1032.5899999999999</v>
      </c>
      <c r="I27" s="108">
        <f>SUMIF('Квартальная отчетность'!$L$13:$AO$13,I10,'Квартальная отчетность'!$L124:$AO124)</f>
        <v>-1104.5600000000002</v>
      </c>
      <c r="J27" s="108">
        <f>SUMIF('Квартальная отчетность'!$L$13:$AO$13,J10,'Квартальная отчетность'!$L124:$AO124)</f>
        <v>-1181.71</v>
      </c>
      <c r="K27" s="108">
        <f>SUMIF('Квартальная отчетность'!$L$13:$AO$13,K10,'Квартальная отчетность'!$L124:$AO124)</f>
        <v>-1264.0999999999999</v>
      </c>
      <c r="L27" s="108">
        <f>SUMIF('Квартальная отчетность'!$L$13:$AO$13,L10,'Квартальная отчетность'!$L124:$AO124)</f>
        <v>-1352.45</v>
      </c>
      <c r="M27" s="108">
        <f>SUMIF('Квартальная отчетность'!$L$13:$AO$13,M10,'Квартальная отчетность'!$L124:$AO124)</f>
        <v>-352.56</v>
      </c>
      <c r="N27" s="108">
        <f>SUMIF('Квартальная отчетность'!$L$13:$AO$13,N10,'Квартальная отчетность'!$L124:$AO124)</f>
        <v>0</v>
      </c>
      <c r="O27" s="60"/>
      <c r="P27" s="60"/>
      <c r="Q27" s="60"/>
    </row>
    <row r="28" spans="2:17" ht="20.25" customHeight="1">
      <c r="B28" s="105" t="str">
        <f>'Квартальная отчетность'!H125</f>
        <v>% по оборотным кредитам</v>
      </c>
      <c r="C28" s="107" t="s">
        <v>29</v>
      </c>
      <c r="D28" s="108">
        <f>'Квартальная отчетность'!J125</f>
        <v>0</v>
      </c>
      <c r="E28" s="108">
        <f>'Квартальная отчетность'!K125</f>
        <v>0</v>
      </c>
      <c r="F28" s="108">
        <f>SUMIF('Квартальная отчетность'!$L$13:$AO$13,F10,'Квартальная отчетность'!$L125:$AO125)</f>
        <v>0</v>
      </c>
      <c r="G28" s="108">
        <f>SUMIF('Квартальная отчетность'!$L$13:$AO$13,G10,'Квартальная отчетность'!$L125:$AO125)</f>
        <v>0</v>
      </c>
      <c r="H28" s="108">
        <f>SUMIF('Квартальная отчетность'!$L$13:$AO$13,H10,'Квартальная отчетность'!$L125:$AO125)</f>
        <v>0</v>
      </c>
      <c r="I28" s="108">
        <f>SUMIF('Квартальная отчетность'!$L$13:$AO$13,I10,'Квартальная отчетность'!$L125:$AO125)</f>
        <v>0</v>
      </c>
      <c r="J28" s="108">
        <f>SUMIF('Квартальная отчетность'!$L$13:$AO$13,J10,'Квартальная отчетность'!$L125:$AO125)</f>
        <v>0</v>
      </c>
      <c r="K28" s="108">
        <f>SUMIF('Квартальная отчетность'!$L$13:$AO$13,K10,'Квартальная отчетность'!$L125:$AO125)</f>
        <v>0</v>
      </c>
      <c r="L28" s="108">
        <f>SUMIF('Квартальная отчетность'!$L$13:$AO$13,L10,'Квартальная отчетность'!$L125:$AO125)</f>
        <v>0</v>
      </c>
      <c r="M28" s="108">
        <f>SUMIF('Квартальная отчетность'!$L$13:$AO$13,M10,'Квартальная отчетность'!$L125:$AO125)</f>
        <v>0</v>
      </c>
      <c r="N28" s="108">
        <f>SUMIF('Квартальная отчетность'!$L$13:$AO$13,N11,'Квартальная отчетность'!$L125:$AO125)</f>
        <v>0</v>
      </c>
      <c r="O28" s="60"/>
      <c r="P28" s="60"/>
      <c r="Q28" s="60"/>
    </row>
    <row r="29" spans="2:17" ht="20.25" customHeight="1">
      <c r="B29" s="120" t="s">
        <v>71</v>
      </c>
      <c r="C29" s="121" t="s">
        <v>29</v>
      </c>
      <c r="D29" s="215">
        <f>SUM(D21:D28)</f>
        <v>-21761.203837295085</v>
      </c>
      <c r="E29" s="215">
        <f t="shared" ref="E29:M29" si="2">SUM(E21:E28)</f>
        <v>-10138.049321721315</v>
      </c>
      <c r="F29" s="215">
        <f t="shared" si="2"/>
        <v>2442.9499767418029</v>
      </c>
      <c r="G29" s="215">
        <f t="shared" si="2"/>
        <v>-2008.8883643442623</v>
      </c>
      <c r="H29" s="215">
        <f t="shared" si="2"/>
        <v>-2903.4733643442628</v>
      </c>
      <c r="I29" s="215">
        <f t="shared" si="2"/>
        <v>-3205.1083643442626</v>
      </c>
      <c r="J29" s="215">
        <f t="shared" si="2"/>
        <v>-3528.6733643442631</v>
      </c>
      <c r="K29" s="215">
        <f t="shared" si="2"/>
        <v>-5117.9975344262293</v>
      </c>
      <c r="L29" s="215">
        <f t="shared" si="2"/>
        <v>-5903.5422577868849</v>
      </c>
      <c r="M29" s="215">
        <f t="shared" si="2"/>
        <v>-1594.1961288934426</v>
      </c>
      <c r="N29" s="215">
        <f t="shared" ref="N29" si="3">SUM(N21:N27)</f>
        <v>0</v>
      </c>
      <c r="O29" s="60"/>
      <c r="P29" s="60"/>
      <c r="Q29" s="60"/>
    </row>
    <row r="30" spans="2:17" ht="9.6" customHeight="1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2:17" ht="20.25" customHeight="1">
      <c r="B31" s="120" t="s">
        <v>78</v>
      </c>
      <c r="C31" s="121" t="s">
        <v>29</v>
      </c>
      <c r="D31" s="215">
        <f>D18+D29</f>
        <v>-17143.335837295082</v>
      </c>
      <c r="E31" s="215">
        <f>E18+E29</f>
        <v>-5520.1813217213139</v>
      </c>
      <c r="F31" s="215">
        <f>F18+F29</f>
        <v>7060.8179767418042</v>
      </c>
      <c r="G31" s="215">
        <f>G18+G29</f>
        <v>-2008.8883643442623</v>
      </c>
      <c r="H31" s="215">
        <f t="shared" ref="H31:N31" si="4">H18+H29</f>
        <v>-2903.4733643442628</v>
      </c>
      <c r="I31" s="215">
        <f t="shared" si="4"/>
        <v>-3205.1083643442626</v>
      </c>
      <c r="J31" s="215">
        <f t="shared" si="4"/>
        <v>-3528.6733643442631</v>
      </c>
      <c r="K31" s="215">
        <f t="shared" si="4"/>
        <v>-5117.9975344262293</v>
      </c>
      <c r="L31" s="215">
        <f t="shared" si="4"/>
        <v>-5903.5422577868849</v>
      </c>
      <c r="M31" s="215">
        <f t="shared" si="4"/>
        <v>-1594.1961288934426</v>
      </c>
      <c r="N31" s="215">
        <f t="shared" si="4"/>
        <v>0</v>
      </c>
      <c r="O31" s="60"/>
      <c r="P31" s="60"/>
      <c r="Q31" s="60"/>
    </row>
    <row r="32" spans="2:17" ht="15" customHeight="1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</row>
    <row r="33" spans="2:17" ht="15.75">
      <c r="B33" s="123" t="s">
        <v>79</v>
      </c>
      <c r="C33" s="124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59"/>
      <c r="P33" s="59"/>
      <c r="Q33" s="59"/>
    </row>
    <row r="34" spans="2:17" ht="20.25" customHeight="1">
      <c r="B34" s="113" t="s">
        <v>77</v>
      </c>
      <c r="C34" s="114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60"/>
      <c r="Q34" s="60"/>
    </row>
    <row r="35" spans="2:17" ht="20.25" customHeight="1">
      <c r="B35" s="105" t="s">
        <v>242</v>
      </c>
      <c r="C35" s="107" t="s">
        <v>29</v>
      </c>
      <c r="D35" s="108">
        <f>'Квартальная отчетность'!J132</f>
        <v>-30000</v>
      </c>
      <c r="E35" s="108">
        <f>'Квартальная отчетность'!K132</f>
        <v>-30000</v>
      </c>
      <c r="F35" s="108">
        <f>SUMIF('Квартальная отчетность'!$L$13:$AO$13,F10,'Квартальная отчетность'!$L132:$AO132)</f>
        <v>-30000</v>
      </c>
      <c r="G35" s="108">
        <f>SUMIF('Квартальная отчетность'!$L$13:$AO$13,G10,'Квартальная отчетность'!$L132:$AO132)</f>
        <v>0</v>
      </c>
      <c r="H35" s="108">
        <f>SUMIF('Квартальная отчетность'!$L$13:$AO$13,H10,'Квартальная отчетность'!$L132:$AO132)</f>
        <v>0</v>
      </c>
      <c r="I35" s="108">
        <f>SUMIF('Квартальная отчетность'!$L$13:$AO$13,I10,'Квартальная отчетность'!$L132:$AO132)</f>
        <v>0</v>
      </c>
      <c r="J35" s="108">
        <f>SUMIF('Квартальная отчетность'!$L$13:$AO$13,J10,'Квартальная отчетность'!$L132:$AO132)</f>
        <v>0</v>
      </c>
      <c r="K35" s="108">
        <f>SUMIF('Квартальная отчетность'!$L$13:$AO$13,K10,'Квартальная отчетность'!$L132:$AO132)</f>
        <v>0</v>
      </c>
      <c r="L35" s="108">
        <f>SUMIF('Квартальная отчетность'!$L$13:$AO$13,L10,'Квартальная отчетность'!$L132:$AO132)</f>
        <v>0</v>
      </c>
      <c r="M35" s="108">
        <f>SUMIF('Квартальная отчетность'!$L$13:$AO$13,M10,'Квартальная отчетность'!$L132:$AO132)</f>
        <v>0</v>
      </c>
      <c r="N35" s="108">
        <f>SUMIF('Квартальная отчетность'!$L$13:$AO$13,N10,'Квартальная отчетность'!$L132:$AO132)</f>
        <v>0</v>
      </c>
      <c r="O35" s="60"/>
      <c r="P35" s="60"/>
      <c r="Q35" s="60"/>
    </row>
    <row r="36" spans="2:17" ht="20.25" customHeight="1">
      <c r="B36" s="120" t="s">
        <v>71</v>
      </c>
      <c r="C36" s="121" t="s">
        <v>29</v>
      </c>
      <c r="D36" s="215">
        <f>D35</f>
        <v>-30000</v>
      </c>
      <c r="E36" s="215">
        <f>E35</f>
        <v>-30000</v>
      </c>
      <c r="F36" s="215">
        <f>F35</f>
        <v>-30000</v>
      </c>
      <c r="G36" s="215">
        <f t="shared" ref="G36:N36" si="5">G35</f>
        <v>0</v>
      </c>
      <c r="H36" s="215">
        <f t="shared" si="5"/>
        <v>0</v>
      </c>
      <c r="I36" s="215">
        <f t="shared" si="5"/>
        <v>0</v>
      </c>
      <c r="J36" s="215">
        <f t="shared" si="5"/>
        <v>0</v>
      </c>
      <c r="K36" s="215">
        <f t="shared" si="5"/>
        <v>0</v>
      </c>
      <c r="L36" s="215">
        <f t="shared" si="5"/>
        <v>0</v>
      </c>
      <c r="M36" s="215">
        <f t="shared" si="5"/>
        <v>0</v>
      </c>
      <c r="N36" s="215">
        <f t="shared" si="5"/>
        <v>0</v>
      </c>
      <c r="O36" s="60"/>
      <c r="P36" s="60"/>
      <c r="Q36" s="60"/>
    </row>
    <row r="37" spans="2:17" ht="12" customHeight="1"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</row>
    <row r="38" spans="2:17" ht="20.25" customHeight="1">
      <c r="B38" s="120" t="s">
        <v>80</v>
      </c>
      <c r="C38" s="121" t="s">
        <v>29</v>
      </c>
      <c r="D38" s="215">
        <f t="shared" ref="D38:E38" si="6">D36</f>
        <v>-30000</v>
      </c>
      <c r="E38" s="215">
        <f t="shared" si="6"/>
        <v>-30000</v>
      </c>
      <c r="F38" s="215">
        <f>F36</f>
        <v>-30000</v>
      </c>
      <c r="G38" s="215">
        <f t="shared" ref="G38:N38" si="7">G36</f>
        <v>0</v>
      </c>
      <c r="H38" s="215">
        <f t="shared" si="7"/>
        <v>0</v>
      </c>
      <c r="I38" s="215">
        <f t="shared" si="7"/>
        <v>0</v>
      </c>
      <c r="J38" s="215">
        <f t="shared" si="7"/>
        <v>0</v>
      </c>
      <c r="K38" s="215">
        <f t="shared" si="7"/>
        <v>0</v>
      </c>
      <c r="L38" s="215">
        <f t="shared" si="7"/>
        <v>0</v>
      </c>
      <c r="M38" s="215">
        <f t="shared" si="7"/>
        <v>0</v>
      </c>
      <c r="N38" s="215">
        <f t="shared" si="7"/>
        <v>0</v>
      </c>
      <c r="O38" s="60"/>
      <c r="P38" s="60"/>
      <c r="Q38" s="60"/>
    </row>
    <row r="39" spans="2:17" ht="12.6" customHeight="1"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</row>
    <row r="40" spans="2:17" ht="15.75">
      <c r="B40" s="123" t="s">
        <v>81</v>
      </c>
      <c r="C40" s="124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59"/>
      <c r="P40" s="59"/>
      <c r="Q40" s="59"/>
    </row>
    <row r="41" spans="2:17" ht="20.25" customHeight="1">
      <c r="B41" s="113" t="s">
        <v>76</v>
      </c>
      <c r="C41" s="114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60"/>
      <c r="Q41" s="60"/>
    </row>
    <row r="42" spans="2:17" ht="20.25" customHeight="1">
      <c r="B42" s="105" t="s">
        <v>243</v>
      </c>
      <c r="C42" s="107" t="s">
        <v>29</v>
      </c>
      <c r="D42" s="108">
        <f>'Квартальная отчетность'!J139</f>
        <v>5000</v>
      </c>
      <c r="E42" s="108">
        <f>'Квартальная отчетность'!K139</f>
        <v>5000</v>
      </c>
      <c r="F42" s="108">
        <f>SUMIF('Квартальная отчетность'!$L$13:$AO$13,F10,'Квартальная отчетность'!$L139:$AO139)</f>
        <v>5000</v>
      </c>
      <c r="G42" s="108">
        <f>SUMIF('Квартальная отчетность'!$L$13:$AO$13,G10,'Квартальная отчетность'!$L139:$AO139)</f>
        <v>0</v>
      </c>
      <c r="H42" s="108">
        <f>SUMIF('Квартальная отчетность'!$L$13:$AO$13,H10,'Квартальная отчетность'!$L139:$AO139)</f>
        <v>0</v>
      </c>
      <c r="I42" s="108">
        <f>SUMIF('Квартальная отчетность'!$L$13:$AO$13,I10,'Квартальная отчетность'!$L139:$AO139)</f>
        <v>0</v>
      </c>
      <c r="J42" s="108">
        <f>SUMIF('Квартальная отчетность'!$L$13:$AO$13,J10,'Квартальная отчетность'!$L139:$AO139)</f>
        <v>0</v>
      </c>
      <c r="K42" s="108">
        <f>SUMIF('Квартальная отчетность'!$L$13:$AO$13,K10,'Квартальная отчетность'!$L139:$AO139)</f>
        <v>0</v>
      </c>
      <c r="L42" s="108">
        <f>SUMIF('Квартальная отчетность'!$L$13:$AO$13,L10,'Квартальная отчетность'!$L139:$AO139)</f>
        <v>0</v>
      </c>
      <c r="M42" s="108">
        <f>SUMIF('Квартальная отчетность'!$L$13:$AO$13,M10,'Квартальная отчетность'!$L139:$AO139)</f>
        <v>0</v>
      </c>
      <c r="N42" s="108">
        <f>SUMIF('Квартальная отчетность'!$L$13:$AO$13,N10,'Квартальная отчетность'!$L139:$AO139)</f>
        <v>0</v>
      </c>
      <c r="O42" s="60"/>
      <c r="P42" s="60"/>
      <c r="Q42" s="60"/>
    </row>
    <row r="43" spans="2:17" ht="20.25" customHeight="1">
      <c r="B43" s="105" t="s">
        <v>244</v>
      </c>
      <c r="C43" s="107" t="s">
        <v>29</v>
      </c>
      <c r="D43" s="108">
        <f>'Квартальная отчетность'!J140</f>
        <v>0</v>
      </c>
      <c r="E43" s="108">
        <f>'Квартальная отчетность'!K140</f>
        <v>0</v>
      </c>
      <c r="F43" s="108">
        <f>SUMIF('Квартальная отчетность'!$L$13:$AO$13,F10,'Квартальная отчетность'!$L140:$AO140)</f>
        <v>0</v>
      </c>
      <c r="G43" s="108">
        <f>SUMIF('Квартальная отчетность'!$L$13:$AO$13,G10,'Квартальная отчетность'!$L140:$AO140)</f>
        <v>0</v>
      </c>
      <c r="H43" s="108">
        <f>SUMIF('Квартальная отчетность'!$L$13:$AO$13,H10,'Квартальная отчетность'!$L140:$AO140)</f>
        <v>0</v>
      </c>
      <c r="I43" s="108">
        <f>SUMIF('Квартальная отчетность'!$L$13:$AO$13,I10,'Квартальная отчетность'!$L140:$AO140)</f>
        <v>0</v>
      </c>
      <c r="J43" s="108">
        <f>SUMIF('Квартальная отчетность'!$L$13:$AO$13,J10,'Квартальная отчетность'!$L140:$AO140)</f>
        <v>0</v>
      </c>
      <c r="K43" s="108">
        <f>SUMIF('Квартальная отчетность'!$L$13:$AO$13,K10,'Квартальная отчетность'!$L140:$AO140)</f>
        <v>0</v>
      </c>
      <c r="L43" s="108">
        <f>SUMIF('Квартальная отчетность'!$L$13:$AO$13,L10,'Квартальная отчетность'!$L140:$AO140)</f>
        <v>0</v>
      </c>
      <c r="M43" s="108">
        <f>SUMIF('Квартальная отчетность'!$L$13:$AO$13,M10,'Квартальная отчетность'!$L140:$AO140)</f>
        <v>0</v>
      </c>
      <c r="N43" s="108">
        <f>SUMIF('Квартальная отчетность'!$L$13:$AO$13,N10,'Квартальная отчетность'!$L140:$AO140)</f>
        <v>0</v>
      </c>
      <c r="O43" s="60"/>
    </row>
    <row r="44" spans="2:17" ht="20.25" customHeight="1">
      <c r="B44" s="120" t="s">
        <v>71</v>
      </c>
      <c r="C44" s="121" t="s">
        <v>29</v>
      </c>
      <c r="D44" s="215">
        <f>SUM(D42:D43)</f>
        <v>5000</v>
      </c>
      <c r="E44" s="215">
        <f>SUM(E42:E43)</f>
        <v>5000</v>
      </c>
      <c r="F44" s="215">
        <f>SUM(F42:F43)</f>
        <v>5000</v>
      </c>
      <c r="G44" s="215">
        <f t="shared" ref="G44:N44" si="8">SUM(G42:G43)</f>
        <v>0</v>
      </c>
      <c r="H44" s="215">
        <f t="shared" si="8"/>
        <v>0</v>
      </c>
      <c r="I44" s="215">
        <f t="shared" si="8"/>
        <v>0</v>
      </c>
      <c r="J44" s="215">
        <f t="shared" si="8"/>
        <v>0</v>
      </c>
      <c r="K44" s="215">
        <f t="shared" si="8"/>
        <v>0</v>
      </c>
      <c r="L44" s="215">
        <f t="shared" si="8"/>
        <v>0</v>
      </c>
      <c r="M44" s="215">
        <f t="shared" si="8"/>
        <v>0</v>
      </c>
      <c r="N44" s="215">
        <f t="shared" si="8"/>
        <v>0</v>
      </c>
      <c r="O44" s="60"/>
      <c r="P44" s="60"/>
      <c r="Q44" s="60"/>
    </row>
    <row r="45" spans="2:17" ht="12.6" customHeight="1"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</row>
    <row r="46" spans="2:17" ht="20.25" customHeight="1">
      <c r="B46" s="113" t="s">
        <v>77</v>
      </c>
      <c r="C46" s="114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</row>
    <row r="47" spans="2:17" ht="20.25" customHeight="1">
      <c r="B47" s="105" t="s">
        <v>226</v>
      </c>
      <c r="C47" s="107" t="s">
        <v>29</v>
      </c>
      <c r="D47" s="108">
        <f>'Квартальная отчетность'!J144</f>
        <v>-5000</v>
      </c>
      <c r="E47" s="108">
        <f>'Квартальная отчетность'!K144</f>
        <v>-5000</v>
      </c>
      <c r="F47" s="108">
        <f>SUMIF('Квартальная отчетность'!$L$13:$AO$13,F10,'Квартальная отчетность'!$L144:$AO144)</f>
        <v>0</v>
      </c>
      <c r="G47" s="108">
        <f>SUMIF('Квартальная отчетность'!$L$13:$AO$13,G10,'Квартальная отчетность'!$L144:$AO144)</f>
        <v>0</v>
      </c>
      <c r="H47" s="108">
        <f>SUMIF('Квартальная отчетность'!$L$13:$AO$13,H10,'Квартальная отчетность'!$L144:$AO144)</f>
        <v>0</v>
      </c>
      <c r="I47" s="108">
        <f>SUMIF('Квартальная отчетность'!$L$13:$AO$13,I10,'Квартальная отчетность'!$L144:$AO144)</f>
        <v>-1875</v>
      </c>
      <c r="J47" s="108">
        <f>SUMIF('Квартальная отчетность'!$L$13:$AO$13,J10,'Квартальная отчетность'!$L144:$AO144)</f>
        <v>-2500</v>
      </c>
      <c r="K47" s="108">
        <f>SUMIF('Квартальная отчетность'!$L$13:$AO$13,K10,'Квартальная отчетность'!$L144:$AO144)</f>
        <v>-625</v>
      </c>
      <c r="L47" s="108">
        <f>SUMIF('Квартальная отчетность'!$L$13:$AO$13,L10,'Квартальная отчетность'!$L144:$AO144)</f>
        <v>0</v>
      </c>
      <c r="M47" s="108">
        <f>SUMIF('Квартальная отчетность'!$L$13:$AO$13,M10,'Квартальная отчетность'!$L144:$AO144)</f>
        <v>0</v>
      </c>
      <c r="N47" s="108">
        <f>SUMIF('Квартальная отчетность'!$L$13:$AO$13,N10,'Квартальная отчетность'!$L144:$AO144)</f>
        <v>0</v>
      </c>
      <c r="O47" s="60"/>
    </row>
    <row r="48" spans="2:17" ht="20.25" customHeight="1">
      <c r="B48" s="105" t="s">
        <v>227</v>
      </c>
      <c r="C48" s="107" t="s">
        <v>29</v>
      </c>
      <c r="D48" s="108">
        <f>'Квартальная отчетность'!J145</f>
        <v>-986.9863013698631</v>
      </c>
      <c r="E48" s="108">
        <f>'Квартальная отчетность'!K145</f>
        <v>-986.9863013698631</v>
      </c>
      <c r="F48" s="108">
        <f>SUMIF('Квартальная отчетность'!$L$13:$AO$13,F10,'Квартальная отчетность'!$L145:$AO145)</f>
        <v>-208.21917808219177</v>
      </c>
      <c r="G48" s="108">
        <f>SUMIF('Квартальная отчетность'!$L$13:$AO$13,G10,'Квартальная отчетность'!$L145:$AO145)</f>
        <v>-250</v>
      </c>
      <c r="H48" s="108">
        <f>SUMIF('Квартальная отчетность'!$L$13:$AO$13,H10,'Квартальная отчетность'!$L145:$AO145)</f>
        <v>-250.6849315068493</v>
      </c>
      <c r="I48" s="108">
        <f>SUMIF('Квартальная отчетность'!$L$13:$AO$13,I10,'Квартальная отчетность'!$L145:$AO145)</f>
        <v>-198.97260273972603</v>
      </c>
      <c r="J48" s="108">
        <f>SUMIF('Квартальная отчетность'!$L$13:$AO$13,J10,'Квартальная отчетность'!$L145:$AO145)</f>
        <v>-73.972602739726028</v>
      </c>
      <c r="K48" s="108">
        <f>SUMIF('Квартальная отчетность'!$L$13:$AO$13,K10,'Квартальная отчетность'!$L145:$AO145)</f>
        <v>-5.1369863013698627</v>
      </c>
      <c r="L48" s="108">
        <f>SUMIF('Квартальная отчетность'!$L$13:$AO$13,L10,'Квартальная отчетность'!$L145:$AO145)</f>
        <v>0</v>
      </c>
      <c r="M48" s="108">
        <f>SUMIF('Квартальная отчетность'!$L$13:$AO$13,M10,'Квартальная отчетность'!$L145:$AO145)</f>
        <v>0</v>
      </c>
      <c r="N48" s="108">
        <f>SUMIF('Квартальная отчетность'!$L$13:$AO$13,N10,'Квартальная отчетность'!$L145:$AO145)</f>
        <v>0</v>
      </c>
      <c r="O48" s="60"/>
    </row>
    <row r="49" spans="2:17" ht="20.25" customHeight="1">
      <c r="B49" s="120" t="s">
        <v>71</v>
      </c>
      <c r="C49" s="121" t="s">
        <v>29</v>
      </c>
      <c r="D49" s="215">
        <f>D47+D48</f>
        <v>-5986.9863013698632</v>
      </c>
      <c r="E49" s="215">
        <f>E47+E48</f>
        <v>-5986.9863013698632</v>
      </c>
      <c r="F49" s="215">
        <f>SUM(F47:F48)</f>
        <v>-208.21917808219177</v>
      </c>
      <c r="G49" s="215">
        <f t="shared" ref="G49:N49" si="9">SUM(G47:G48)</f>
        <v>-250</v>
      </c>
      <c r="H49" s="215">
        <f t="shared" si="9"/>
        <v>-250.6849315068493</v>
      </c>
      <c r="I49" s="215">
        <f t="shared" si="9"/>
        <v>-2073.972602739726</v>
      </c>
      <c r="J49" s="215">
        <f t="shared" si="9"/>
        <v>-2573.972602739726</v>
      </c>
      <c r="K49" s="215">
        <f t="shared" si="9"/>
        <v>-630.13698630136992</v>
      </c>
      <c r="L49" s="215">
        <f t="shared" si="9"/>
        <v>0</v>
      </c>
      <c r="M49" s="215">
        <f t="shared" si="9"/>
        <v>0</v>
      </c>
      <c r="N49" s="215">
        <f t="shared" si="9"/>
        <v>0</v>
      </c>
      <c r="O49" s="60"/>
      <c r="P49" s="60"/>
      <c r="Q49" s="60"/>
    </row>
    <row r="50" spans="2:17" ht="10.9" customHeight="1"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</row>
    <row r="51" spans="2:17" ht="20.25" customHeight="1">
      <c r="B51" s="120" t="s">
        <v>83</v>
      </c>
      <c r="C51" s="121" t="s">
        <v>29</v>
      </c>
      <c r="D51" s="215">
        <f>D44+D49</f>
        <v>-986.98630136986321</v>
      </c>
      <c r="E51" s="215">
        <f>E44+E49</f>
        <v>-986.98630136986321</v>
      </c>
      <c r="F51" s="215">
        <f>F44+F49</f>
        <v>4791.7808219178078</v>
      </c>
      <c r="G51" s="215">
        <f t="shared" ref="G51:N51" si="10">G44+G49</f>
        <v>-250</v>
      </c>
      <c r="H51" s="215">
        <f t="shared" si="10"/>
        <v>-250.6849315068493</v>
      </c>
      <c r="I51" s="215">
        <f t="shared" si="10"/>
        <v>-2073.972602739726</v>
      </c>
      <c r="J51" s="215">
        <f t="shared" si="10"/>
        <v>-2573.972602739726</v>
      </c>
      <c r="K51" s="215">
        <f t="shared" si="10"/>
        <v>-630.13698630136992</v>
      </c>
      <c r="L51" s="215">
        <f t="shared" si="10"/>
        <v>0</v>
      </c>
      <c r="M51" s="215">
        <f t="shared" si="10"/>
        <v>0</v>
      </c>
      <c r="N51" s="215">
        <f t="shared" si="10"/>
        <v>0</v>
      </c>
      <c r="O51" s="60"/>
      <c r="P51" s="60"/>
      <c r="Q51" s="60"/>
    </row>
    <row r="52" spans="2:17" ht="10.9" customHeight="1"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</row>
    <row r="53" spans="2:17" ht="20.25" customHeight="1">
      <c r="B53" s="112" t="s">
        <v>84</v>
      </c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</row>
    <row r="54" spans="2:17" ht="20.25" customHeight="1">
      <c r="B54" s="105" t="s">
        <v>85</v>
      </c>
      <c r="C54" s="107" t="s">
        <v>29</v>
      </c>
      <c r="D54" s="108">
        <f>'Квартальная отчетность'!J151</f>
        <v>0</v>
      </c>
      <c r="E54" s="108">
        <f>'Квартальная отчетность'!K151</f>
        <v>0</v>
      </c>
      <c r="F54" s="108">
        <f>'Квартальная отчетность'!L151</f>
        <v>0</v>
      </c>
      <c r="G54" s="108">
        <f>F56</f>
        <v>-18147.401201340388</v>
      </c>
      <c r="H54" s="108">
        <f t="shared" ref="H54:N54" si="11">G56</f>
        <v>-20406.289565684652</v>
      </c>
      <c r="I54" s="108">
        <f t="shared" si="11"/>
        <v>-23560.447861535766</v>
      </c>
      <c r="J54" s="108">
        <f t="shared" si="11"/>
        <v>-28839.528828619754</v>
      </c>
      <c r="K54" s="108">
        <f t="shared" si="11"/>
        <v>-34942.174795703744</v>
      </c>
      <c r="L54" s="108">
        <f t="shared" si="11"/>
        <v>-40690.309316431347</v>
      </c>
      <c r="M54" s="108">
        <f t="shared" si="11"/>
        <v>-46593.851574218235</v>
      </c>
      <c r="N54" s="108">
        <f t="shared" si="11"/>
        <v>-48188.047703111675</v>
      </c>
      <c r="O54" s="60"/>
    </row>
    <row r="55" spans="2:17" ht="20.25" customHeight="1">
      <c r="B55" s="105" t="s">
        <v>86</v>
      </c>
      <c r="C55" s="107" t="s">
        <v>29</v>
      </c>
      <c r="D55" s="108">
        <f>'Квартальная отчетность'!J152</f>
        <v>-48130.322138664938</v>
      </c>
      <c r="E55" s="108">
        <f>'Квартальная отчетность'!K152</f>
        <v>-36507.167623091169</v>
      </c>
      <c r="F55" s="108">
        <f>F31+F38+F51</f>
        <v>-18147.401201340388</v>
      </c>
      <c r="G55" s="108">
        <f>G31+G38+G51</f>
        <v>-2258.8883643442623</v>
      </c>
      <c r="H55" s="108">
        <f t="shared" ref="H55:N55" si="12">H31+H38+H51</f>
        <v>-3154.1582958511121</v>
      </c>
      <c r="I55" s="108">
        <f t="shared" si="12"/>
        <v>-5279.0809670839881</v>
      </c>
      <c r="J55" s="108">
        <f t="shared" si="12"/>
        <v>-6102.6459670839886</v>
      </c>
      <c r="K55" s="108">
        <f t="shared" si="12"/>
        <v>-5748.134520727599</v>
      </c>
      <c r="L55" s="108">
        <f t="shared" si="12"/>
        <v>-5903.5422577868849</v>
      </c>
      <c r="M55" s="108">
        <f t="shared" si="12"/>
        <v>-1594.1961288934426</v>
      </c>
      <c r="N55" s="108">
        <f t="shared" si="12"/>
        <v>0</v>
      </c>
      <c r="O55" s="60"/>
    </row>
    <row r="56" spans="2:17" ht="20.25" customHeight="1">
      <c r="B56" s="120" t="s">
        <v>87</v>
      </c>
      <c r="C56" s="121" t="s">
        <v>29</v>
      </c>
      <c r="D56" s="215">
        <f>D54+D55</f>
        <v>-48130.322138664938</v>
      </c>
      <c r="E56" s="215">
        <f>E54+E55</f>
        <v>-36507.167623091169</v>
      </c>
      <c r="F56" s="215">
        <f>F54+F55</f>
        <v>-18147.401201340388</v>
      </c>
      <c r="G56" s="215">
        <f t="shared" ref="G56:N56" si="13">G54+G55</f>
        <v>-20406.289565684652</v>
      </c>
      <c r="H56" s="215">
        <f t="shared" si="13"/>
        <v>-23560.447861535766</v>
      </c>
      <c r="I56" s="215">
        <f t="shared" si="13"/>
        <v>-28839.528828619754</v>
      </c>
      <c r="J56" s="215">
        <f t="shared" si="13"/>
        <v>-34942.174795703744</v>
      </c>
      <c r="K56" s="215">
        <f t="shared" si="13"/>
        <v>-40690.309316431347</v>
      </c>
      <c r="L56" s="215">
        <f t="shared" si="13"/>
        <v>-46593.851574218235</v>
      </c>
      <c r="M56" s="215">
        <f t="shared" si="13"/>
        <v>-48188.047703111675</v>
      </c>
      <c r="N56" s="215">
        <f t="shared" si="13"/>
        <v>-48188.047703111675</v>
      </c>
      <c r="O56" s="60"/>
      <c r="P56" s="60"/>
      <c r="Q56" s="60"/>
    </row>
    <row r="57" spans="2:17" ht="35.25" customHeight="1">
      <c r="B57" s="110" t="s">
        <v>222</v>
      </c>
      <c r="C57" s="60"/>
      <c r="D57" s="60"/>
      <c r="E57" s="110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</row>
    <row r="58" spans="2:17" ht="20.25" customHeight="1">
      <c r="B58" s="61" t="s">
        <v>74</v>
      </c>
      <c r="C58" s="60"/>
      <c r="D58" s="60"/>
      <c r="E58" s="61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</row>
    <row r="59" spans="2:17" ht="21">
      <c r="B59" s="123" t="s">
        <v>75</v>
      </c>
      <c r="C59" s="124"/>
      <c r="D59" s="124"/>
      <c r="E59" s="125"/>
      <c r="F59" s="126"/>
      <c r="G59" s="126"/>
      <c r="H59" s="126"/>
      <c r="I59" s="126"/>
      <c r="J59" s="126"/>
      <c r="K59" s="126"/>
      <c r="L59" s="126"/>
      <c r="M59" s="126"/>
      <c r="N59" s="126"/>
      <c r="O59" s="59"/>
      <c r="P59" s="59"/>
      <c r="Q59" s="59"/>
    </row>
    <row r="60" spans="2:17" ht="20.25" customHeight="1">
      <c r="B60" s="113" t="s">
        <v>76</v>
      </c>
      <c r="C60" s="114"/>
      <c r="D60" s="114"/>
      <c r="E60" s="114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60"/>
      <c r="Q60" s="60"/>
    </row>
    <row r="61" spans="2:17" ht="20.25" customHeight="1">
      <c r="B61" s="109" t="s">
        <v>246</v>
      </c>
      <c r="C61" s="107" t="s">
        <v>29</v>
      </c>
      <c r="D61" s="108">
        <f>'Квартальная отчетность'!J162</f>
        <v>0</v>
      </c>
      <c r="E61" s="108">
        <f>'Квартальная отчетность'!K162</f>
        <v>0</v>
      </c>
      <c r="F61" s="108">
        <f>SUMIF('Квартальная отчетность'!$L$13:$AO$13,F$10,'Квартальная отчетность'!$L162:$AO162)</f>
        <v>0</v>
      </c>
      <c r="G61" s="108">
        <f>SUMIF('Квартальная отчетность'!$L$13:$AO$13,G$10,'Квартальная отчетность'!$L162:$AO162)</f>
        <v>0</v>
      </c>
      <c r="H61" s="108">
        <f>SUMIF('Квартальная отчетность'!$L$13:$AO$13,H$10,'Квартальная отчетность'!$L162:$AO162)</f>
        <v>0</v>
      </c>
      <c r="I61" s="108">
        <f>SUMIF('Квартальная отчетность'!$L$13:$AO$13,I$10,'Квартальная отчетность'!$L162:$AO162)</f>
        <v>0</v>
      </c>
      <c r="J61" s="108">
        <f>SUMIF('Квартальная отчетность'!$L$13:$AO$13,J$10,'Квартальная отчетность'!$L162:$AO162)</f>
        <v>0</v>
      </c>
      <c r="K61" s="108">
        <f>SUMIF('Квартальная отчетность'!$L$13:$AO$13,K$10,'Квартальная отчетность'!$L162:$AO162)</f>
        <v>0</v>
      </c>
      <c r="L61" s="108">
        <f>SUMIF('Квартальная отчетность'!$L$13:$AO$13,L$10,'Квартальная отчетность'!$L162:$AO162)</f>
        <v>0</v>
      </c>
      <c r="M61" s="108">
        <f>SUMIF('Квартальная отчетность'!$L$13:$AO$13,M$10,'Квартальная отчетность'!$L162:$AO162)</f>
        <v>0</v>
      </c>
      <c r="N61" s="108">
        <f>SUMIF('Квартальная отчетность'!$L$13:$AO$13,N$10,'Квартальная отчетность'!$L162:$AO162)</f>
        <v>0</v>
      </c>
      <c r="O61" s="60"/>
      <c r="P61" s="60"/>
      <c r="Q61" s="60"/>
    </row>
    <row r="62" spans="2:17" ht="20.25" customHeight="1">
      <c r="B62" s="105" t="s">
        <v>247</v>
      </c>
      <c r="C62" s="107" t="s">
        <v>29</v>
      </c>
      <c r="D62" s="108">
        <f>'Квартальная отчетность'!J163</f>
        <v>0</v>
      </c>
      <c r="E62" s="108">
        <f>'Квартальная отчетность'!K163</f>
        <v>0</v>
      </c>
      <c r="F62" s="108">
        <f>SUMIF('Квартальная отчетность'!$L$13:$AO$13,F$10,'Квартальная отчетность'!$L163:$AO163)</f>
        <v>0</v>
      </c>
      <c r="G62" s="108">
        <f>SUMIF('Квартальная отчетность'!$L$13:$AO$13,G$10,'Квартальная отчетность'!$L163:$AO163)</f>
        <v>0</v>
      </c>
      <c r="H62" s="108">
        <f>SUMIF('Квартальная отчетность'!$L$13:$AO$13,H$10,'Квартальная отчетность'!$L163:$AO163)</f>
        <v>0</v>
      </c>
      <c r="I62" s="108">
        <f>SUMIF('Квартальная отчетность'!$L$13:$AO$13,I$10,'Квартальная отчетность'!$L163:$AO163)</f>
        <v>0</v>
      </c>
      <c r="J62" s="108">
        <f>SUMIF('Квартальная отчетность'!$L$13:$AO$13,J$10,'Квартальная отчетность'!$L163:$AO163)</f>
        <v>0</v>
      </c>
      <c r="K62" s="108">
        <f>SUMIF('Квартальная отчетность'!$L$13:$AO$13,K$10,'Квартальная отчетность'!$L163:$AO163)</f>
        <v>0</v>
      </c>
      <c r="L62" s="108">
        <f>SUMIF('Квартальная отчетность'!$L$13:$AO$13,L$10,'Квартальная отчетность'!$L163:$AO163)</f>
        <v>0</v>
      </c>
      <c r="M62" s="108">
        <f>SUMIF('Квартальная отчетность'!$L$13:$AO$13,M$10,'Квартальная отчетность'!$L163:$AO163)</f>
        <v>0</v>
      </c>
      <c r="N62" s="108">
        <f>SUMIF('Квартальная отчетность'!$L$13:$AO$13,N$10,'Квартальная отчетность'!$L163:$AO163)</f>
        <v>0</v>
      </c>
      <c r="O62" s="60"/>
      <c r="P62" s="60"/>
      <c r="Q62" s="60"/>
    </row>
    <row r="63" spans="2:17" ht="20.25" customHeight="1">
      <c r="B63" s="105" t="s">
        <v>248</v>
      </c>
      <c r="C63" s="107" t="s">
        <v>29</v>
      </c>
      <c r="D63" s="108">
        <f>'Квартальная отчетность'!J164</f>
        <v>0</v>
      </c>
      <c r="E63" s="108">
        <f>'Квартальная отчетность'!K164</f>
        <v>0</v>
      </c>
      <c r="F63" s="108">
        <f>SUMIF('Квартальная отчетность'!$L$13:$AO$13,F$10,'Квартальная отчетность'!$L164:$AO164)</f>
        <v>0</v>
      </c>
      <c r="G63" s="108">
        <f>SUMIF('Квартальная отчетность'!$L$13:$AO$13,G$10,'Квартальная отчетность'!$L164:$AO164)</f>
        <v>0</v>
      </c>
      <c r="H63" s="108">
        <f>SUMIF('Квартальная отчетность'!$L$13:$AO$13,H$10,'Квартальная отчетность'!$L164:$AO164)</f>
        <v>0</v>
      </c>
      <c r="I63" s="108">
        <f>SUMIF('Квартальная отчетность'!$L$13:$AO$13,I$10,'Квартальная отчетность'!$L164:$AO164)</f>
        <v>0</v>
      </c>
      <c r="J63" s="108">
        <f>SUMIF('Квартальная отчетность'!$L$13:$AO$13,J$10,'Квартальная отчетность'!$L164:$AO164)</f>
        <v>0</v>
      </c>
      <c r="K63" s="108">
        <f>SUMIF('Квартальная отчетность'!$L$13:$AO$13,K$10,'Квартальная отчетность'!$L164:$AO164)</f>
        <v>0</v>
      </c>
      <c r="L63" s="108">
        <f>SUMIF('Квартальная отчетность'!$L$13:$AO$13,L$10,'Квартальная отчетность'!$L164:$AO164)</f>
        <v>0</v>
      </c>
      <c r="M63" s="108">
        <f>SUMIF('Квартальная отчетность'!$L$13:$AO$13,M$10,'Квартальная отчетность'!$L164:$AO164)</f>
        <v>0</v>
      </c>
      <c r="N63" s="108">
        <f>SUMIF('Квартальная отчетность'!$L$13:$AO$13,N$10,'Квартальная отчетность'!$L164:$AO164)</f>
        <v>0</v>
      </c>
      <c r="O63" s="60"/>
      <c r="P63" s="60"/>
      <c r="Q63" s="60"/>
    </row>
    <row r="64" spans="2:17" ht="20.25" customHeight="1">
      <c r="B64" s="105" t="s">
        <v>68</v>
      </c>
      <c r="C64" s="107" t="s">
        <v>29</v>
      </c>
      <c r="D64" s="108">
        <f>'Квартальная отчетность'!J165</f>
        <v>0</v>
      </c>
      <c r="E64" s="108">
        <f>'Квартальная отчетность'!K165</f>
        <v>0</v>
      </c>
      <c r="F64" s="108">
        <f>SUMIF('Квартальная отчетность'!$L$13:$AO$13,F$10,'Квартальная отчетность'!$L165:$AO165)</f>
        <v>0</v>
      </c>
      <c r="G64" s="108">
        <f>SUMIF('Квартальная отчетность'!$L$13:$AO$13,G$10,'Квартальная отчетность'!$L165:$AO165)</f>
        <v>0</v>
      </c>
      <c r="H64" s="108">
        <f>SUMIF('Квартальная отчетность'!$L$13:$AO$13,H$10,'Квартальная отчетность'!$L165:$AO165)</f>
        <v>0</v>
      </c>
      <c r="I64" s="108">
        <f>SUMIF('Квартальная отчетность'!$L$13:$AO$13,I$10,'Квартальная отчетность'!$L165:$AO165)</f>
        <v>0</v>
      </c>
      <c r="J64" s="108">
        <f>SUMIF('Квартальная отчетность'!$L$13:$AO$13,J$10,'Квартальная отчетность'!$L165:$AO165)</f>
        <v>0</v>
      </c>
      <c r="K64" s="108">
        <f>SUMIF('Квартальная отчетность'!$L$13:$AO$13,K$10,'Квартальная отчетность'!$L165:$AO165)</f>
        <v>0</v>
      </c>
      <c r="L64" s="108">
        <f>SUMIF('Квартальная отчетность'!$L$13:$AO$13,L$10,'Квартальная отчетность'!$L165:$AO165)</f>
        <v>0</v>
      </c>
      <c r="M64" s="108">
        <f>SUMIF('Квартальная отчетность'!$L$13:$AO$13,M$10,'Квартальная отчетность'!$L165:$AO165)</f>
        <v>0</v>
      </c>
      <c r="N64" s="108">
        <f>SUMIF('Квартальная отчетность'!$L$13:$AO$13,N$10,'Квартальная отчетность'!$L165:$AO165)</f>
        <v>0</v>
      </c>
      <c r="O64" s="60"/>
      <c r="P64" s="60"/>
      <c r="Q64" s="60"/>
    </row>
    <row r="65" spans="2:17" ht="20.25" customHeight="1">
      <c r="B65" s="120" t="s">
        <v>71</v>
      </c>
      <c r="C65" s="121" t="s">
        <v>29</v>
      </c>
      <c r="D65" s="215">
        <f>SUM(D61:D64)</f>
        <v>0</v>
      </c>
      <c r="E65" s="215">
        <f t="shared" ref="E65:N65" si="14">SUM(E61:E64)</f>
        <v>0</v>
      </c>
      <c r="F65" s="215">
        <f t="shared" si="14"/>
        <v>0</v>
      </c>
      <c r="G65" s="215">
        <f t="shared" si="14"/>
        <v>0</v>
      </c>
      <c r="H65" s="215">
        <f t="shared" si="14"/>
        <v>0</v>
      </c>
      <c r="I65" s="215">
        <f t="shared" si="14"/>
        <v>0</v>
      </c>
      <c r="J65" s="215">
        <f t="shared" si="14"/>
        <v>0</v>
      </c>
      <c r="K65" s="215">
        <f t="shared" si="14"/>
        <v>0</v>
      </c>
      <c r="L65" s="215">
        <f t="shared" si="14"/>
        <v>0</v>
      </c>
      <c r="M65" s="215">
        <f t="shared" si="14"/>
        <v>0</v>
      </c>
      <c r="N65" s="215">
        <f t="shared" si="14"/>
        <v>0</v>
      </c>
      <c r="O65" s="60"/>
      <c r="P65" s="60"/>
      <c r="Q65" s="60"/>
    </row>
    <row r="66" spans="2:17" ht="20.25" customHeight="1"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</row>
    <row r="67" spans="2:17" ht="20.25" customHeight="1">
      <c r="B67" s="113" t="s">
        <v>77</v>
      </c>
      <c r="C67" s="114"/>
      <c r="D67" s="114"/>
      <c r="E67" s="114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60"/>
      <c r="Q67" s="60"/>
    </row>
    <row r="68" spans="2:17" ht="20.25" customHeight="1">
      <c r="B68" s="105" t="s">
        <v>249</v>
      </c>
      <c r="C68" s="107" t="s">
        <v>29</v>
      </c>
      <c r="D68" s="108">
        <f>'Квартальная отчетность'!J169</f>
        <v>0</v>
      </c>
      <c r="E68" s="108">
        <f>'Квартальная отчетность'!K169</f>
        <v>0</v>
      </c>
      <c r="F68" s="108">
        <f>SUMIF('Квартальная отчетность'!$L$13:$AO$13,F$10,'Квартальная отчетность'!$L169:$AO169)</f>
        <v>0</v>
      </c>
      <c r="G68" s="108">
        <f>SUMIF('Квартальная отчетность'!$L$13:$AO$13,G$10,'Квартальная отчетность'!$L169:$AO169)</f>
        <v>0</v>
      </c>
      <c r="H68" s="108">
        <f>SUMIF('Квартальная отчетность'!$L$13:$AO$13,H$10,'Квартальная отчетность'!$L169:$AO169)</f>
        <v>0</v>
      </c>
      <c r="I68" s="108">
        <f>SUMIF('Квартальная отчетность'!$L$13:$AO$13,I$10,'Квартальная отчетность'!$L169:$AO169)</f>
        <v>0</v>
      </c>
      <c r="J68" s="108">
        <f>SUMIF('Квартальная отчетность'!$L$13:$AO$13,J$10,'Квартальная отчетность'!$L169:$AO169)</f>
        <v>0</v>
      </c>
      <c r="K68" s="108">
        <f>SUMIF('Квартальная отчетность'!$L$13:$AO$13,K$10,'Квартальная отчетность'!$L169:$AO169)</f>
        <v>0</v>
      </c>
      <c r="L68" s="108">
        <f>SUMIF('Квартальная отчетность'!$L$13:$AO$13,L$10,'Квартальная отчетность'!$L169:$AO169)</f>
        <v>0</v>
      </c>
      <c r="M68" s="108">
        <f>SUMIF('Квартальная отчетность'!$L$13:$AO$13,M$10,'Квартальная отчетность'!$L169:$AO169)</f>
        <v>0</v>
      </c>
      <c r="N68" s="108">
        <f>SUMIF('Квартальная отчетность'!$L$13:$AO$13,N$10,'Квартальная отчетность'!$L169:$AO169)</f>
        <v>0</v>
      </c>
      <c r="O68" s="60"/>
      <c r="P68" s="60"/>
      <c r="Q68" s="60"/>
    </row>
    <row r="69" spans="2:17" ht="20.25" customHeight="1">
      <c r="B69" s="105" t="s">
        <v>250</v>
      </c>
      <c r="C69" s="107" t="s">
        <v>29</v>
      </c>
      <c r="D69" s="108">
        <f>'Квартальная отчетность'!J170</f>
        <v>0</v>
      </c>
      <c r="E69" s="108">
        <f>'Квартальная отчетность'!K170</f>
        <v>0</v>
      </c>
      <c r="F69" s="108">
        <f>SUMIF('Квартальная отчетность'!$L$13:$AO$13,F$10,'Квартальная отчетность'!$L170:$AO170)</f>
        <v>0</v>
      </c>
      <c r="G69" s="108">
        <f>SUMIF('Квартальная отчетность'!$L$13:$AO$13,G$10,'Квартальная отчетность'!$L170:$AO170)</f>
        <v>0</v>
      </c>
      <c r="H69" s="108">
        <f>SUMIF('Квартальная отчетность'!$L$13:$AO$13,H$10,'Квартальная отчетность'!$L170:$AO170)</f>
        <v>0</v>
      </c>
      <c r="I69" s="108">
        <f>SUMIF('Квартальная отчетность'!$L$13:$AO$13,I$10,'Квартальная отчетность'!$L170:$AO170)</f>
        <v>0</v>
      </c>
      <c r="J69" s="108">
        <f>SUMIF('Квартальная отчетность'!$L$13:$AO$13,J$10,'Квартальная отчетность'!$L170:$AO170)</f>
        <v>0</v>
      </c>
      <c r="K69" s="108">
        <f>SUMIF('Квартальная отчетность'!$L$13:$AO$13,K$10,'Квартальная отчетность'!$L170:$AO170)</f>
        <v>0</v>
      </c>
      <c r="L69" s="108">
        <f>SUMIF('Квартальная отчетность'!$L$13:$AO$13,L$10,'Квартальная отчетность'!$L170:$AO170)</f>
        <v>0</v>
      </c>
      <c r="M69" s="108">
        <f>SUMIF('Квартальная отчетность'!$L$13:$AO$13,M$10,'Квартальная отчетность'!$L170:$AO170)</f>
        <v>0</v>
      </c>
      <c r="N69" s="108">
        <f>SUMIF('Квартальная отчетность'!$L$13:$AO$13,N$10,'Квартальная отчетность'!$L170:$AO170)</f>
        <v>0</v>
      </c>
      <c r="O69" s="60"/>
      <c r="P69" s="60"/>
      <c r="Q69" s="60"/>
    </row>
    <row r="70" spans="2:17" ht="20.25" customHeight="1">
      <c r="B70" s="105" t="s">
        <v>251</v>
      </c>
      <c r="C70" s="107" t="s">
        <v>29</v>
      </c>
      <c r="D70" s="108">
        <f>'Квартальная отчетность'!J171</f>
        <v>0</v>
      </c>
      <c r="E70" s="108">
        <f>'Квартальная отчетность'!K171</f>
        <v>0</v>
      </c>
      <c r="F70" s="108">
        <f>SUMIF('Квартальная отчетность'!$L$13:$AO$13,F$10,'Квартальная отчетность'!$L171:$AO171)</f>
        <v>0</v>
      </c>
      <c r="G70" s="108">
        <f>SUMIF('Квартальная отчетность'!$L$13:$AO$13,G$10,'Квартальная отчетность'!$L171:$AO171)</f>
        <v>0</v>
      </c>
      <c r="H70" s="108">
        <f>SUMIF('Квартальная отчетность'!$L$13:$AO$13,H$10,'Квартальная отчетность'!$L171:$AO171)</f>
        <v>0</v>
      </c>
      <c r="I70" s="108">
        <f>SUMIF('Квартальная отчетность'!$L$13:$AO$13,I$10,'Квартальная отчетность'!$L171:$AO171)</f>
        <v>0</v>
      </c>
      <c r="J70" s="108">
        <f>SUMIF('Квартальная отчетность'!$L$13:$AO$13,J$10,'Квартальная отчетность'!$L171:$AO171)</f>
        <v>0</v>
      </c>
      <c r="K70" s="108">
        <f>SUMIF('Квартальная отчетность'!$L$13:$AO$13,K$10,'Квартальная отчетность'!$L171:$AO171)</f>
        <v>0</v>
      </c>
      <c r="L70" s="108">
        <f>SUMIF('Квартальная отчетность'!$L$13:$AO$13,L$10,'Квартальная отчетность'!$L171:$AO171)</f>
        <v>0</v>
      </c>
      <c r="M70" s="108">
        <f>SUMIF('Квартальная отчетность'!$L$13:$AO$13,M$10,'Квартальная отчетность'!$L171:$AO171)</f>
        <v>0</v>
      </c>
      <c r="N70" s="108">
        <f>SUMIF('Квартальная отчетность'!$L$13:$AO$13,N$10,'Квартальная отчетность'!$L171:$AO171)</f>
        <v>0</v>
      </c>
      <c r="O70" s="60"/>
      <c r="P70" s="60"/>
      <c r="Q70" s="60"/>
    </row>
    <row r="71" spans="2:17" ht="20.25" customHeight="1">
      <c r="B71" s="105" t="str">
        <f>B25</f>
        <v>Уплата налога на прибыль (-)</v>
      </c>
      <c r="C71" s="107" t="s">
        <v>29</v>
      </c>
      <c r="D71" s="108">
        <f>'Квартальная отчетность'!J172</f>
        <v>0</v>
      </c>
      <c r="E71" s="108">
        <f>'Квартальная отчетность'!K172</f>
        <v>0</v>
      </c>
      <c r="F71" s="108">
        <f>SUMIF('Квартальная отчетность'!$L$13:$AO$13,F$10,'Квартальная отчетность'!$L172:$AO172)</f>
        <v>0</v>
      </c>
      <c r="G71" s="108">
        <f>SUMIF('Квартальная отчетность'!$L$13:$AO$13,G$10,'Квартальная отчетность'!$L172:$AO172)</f>
        <v>0</v>
      </c>
      <c r="H71" s="108">
        <f>SUMIF('Квартальная отчетность'!$L$13:$AO$13,H$10,'Квартальная отчетность'!$L172:$AO172)</f>
        <v>0</v>
      </c>
      <c r="I71" s="108">
        <f>SUMIF('Квартальная отчетность'!$L$13:$AO$13,I$10,'Квартальная отчетность'!$L172:$AO172)</f>
        <v>0</v>
      </c>
      <c r="J71" s="108">
        <f>SUMIF('Квартальная отчетность'!$L$13:$AO$13,J$10,'Квартальная отчетность'!$L172:$AO172)</f>
        <v>0</v>
      </c>
      <c r="K71" s="108">
        <f>SUMIF('Квартальная отчетность'!$L$13:$AO$13,K$10,'Квартальная отчетность'!$L172:$AO172)</f>
        <v>0</v>
      </c>
      <c r="L71" s="108">
        <f>SUMIF('Квартальная отчетность'!$L$13:$AO$13,L$10,'Квартальная отчетность'!$L172:$AO172)</f>
        <v>0</v>
      </c>
      <c r="M71" s="108">
        <f>SUMIF('Квартальная отчетность'!$L$13:$AO$13,M$10,'Квартальная отчетность'!$L172:$AO172)</f>
        <v>0</v>
      </c>
      <c r="N71" s="108">
        <f>SUMIF('Квартальная отчетность'!$L$13:$AO$13,N$10,'Квартальная отчетность'!$L172:$AO172)</f>
        <v>0</v>
      </c>
      <c r="O71" s="60"/>
      <c r="P71" s="60"/>
      <c r="Q71" s="60"/>
    </row>
    <row r="72" spans="2:17" ht="20.25" customHeight="1">
      <c r="B72" s="105" t="s">
        <v>252</v>
      </c>
      <c r="C72" s="107" t="s">
        <v>29</v>
      </c>
      <c r="D72" s="108">
        <f>'Квартальная отчетность'!J173</f>
        <v>0</v>
      </c>
      <c r="E72" s="108">
        <f>'Квартальная отчетность'!K173</f>
        <v>0</v>
      </c>
      <c r="F72" s="108">
        <f>SUMIF('Квартальная отчетность'!$L$13:$AO$13,F$10,'Квартальная отчетность'!$L173:$AO173)</f>
        <v>0</v>
      </c>
      <c r="G72" s="108">
        <f>SUMIF('Квартальная отчетность'!$L$13:$AO$13,G$10,'Квартальная отчетность'!$L173:$AO173)</f>
        <v>0</v>
      </c>
      <c r="H72" s="108">
        <f>SUMIF('Квартальная отчетность'!$L$13:$AO$13,H$10,'Квартальная отчетность'!$L173:$AO173)</f>
        <v>0</v>
      </c>
      <c r="I72" s="108">
        <f>SUMIF('Квартальная отчетность'!$L$13:$AO$13,I$10,'Квартальная отчетность'!$L173:$AO173)</f>
        <v>0</v>
      </c>
      <c r="J72" s="108">
        <f>SUMIF('Квартальная отчетность'!$L$13:$AO$13,J$10,'Квартальная отчетность'!$L173:$AO173)</f>
        <v>0</v>
      </c>
      <c r="K72" s="108">
        <f>SUMIF('Квартальная отчетность'!$L$13:$AO$13,K$10,'Квартальная отчетность'!$L173:$AO173)</f>
        <v>0</v>
      </c>
      <c r="L72" s="108">
        <f>SUMIF('Квартальная отчетность'!$L$13:$AO$13,L$10,'Квартальная отчетность'!$L173:$AO173)</f>
        <v>0</v>
      </c>
      <c r="M72" s="108">
        <f>SUMIF('Квартальная отчетность'!$L$13:$AO$13,M$10,'Квартальная отчетность'!$L173:$AO173)</f>
        <v>0</v>
      </c>
      <c r="N72" s="108">
        <f>SUMIF('Квартальная отчетность'!$L$13:$AO$13,N$10,'Квартальная отчетность'!$L173:$AO173)</f>
        <v>0</v>
      </c>
      <c r="O72" s="60"/>
      <c r="P72" s="60"/>
      <c r="Q72" s="60"/>
    </row>
    <row r="73" spans="2:17" ht="20.25" customHeight="1">
      <c r="B73" s="120" t="s">
        <v>71</v>
      </c>
      <c r="C73" s="121" t="s">
        <v>29</v>
      </c>
      <c r="D73" s="215">
        <f>SUM(D68:D72)</f>
        <v>0</v>
      </c>
      <c r="E73" s="215">
        <f t="shared" ref="E73:N73" si="15">SUM(E68:E72)</f>
        <v>0</v>
      </c>
      <c r="F73" s="215">
        <f t="shared" si="15"/>
        <v>0</v>
      </c>
      <c r="G73" s="215">
        <f t="shared" si="15"/>
        <v>0</v>
      </c>
      <c r="H73" s="215">
        <f t="shared" si="15"/>
        <v>0</v>
      </c>
      <c r="I73" s="215">
        <f t="shared" si="15"/>
        <v>0</v>
      </c>
      <c r="J73" s="215">
        <f t="shared" si="15"/>
        <v>0</v>
      </c>
      <c r="K73" s="215">
        <f t="shared" si="15"/>
        <v>0</v>
      </c>
      <c r="L73" s="215">
        <f t="shared" si="15"/>
        <v>0</v>
      </c>
      <c r="M73" s="215">
        <f t="shared" si="15"/>
        <v>0</v>
      </c>
      <c r="N73" s="215">
        <f t="shared" si="15"/>
        <v>0</v>
      </c>
      <c r="O73" s="60"/>
      <c r="P73" s="60"/>
      <c r="Q73" s="60"/>
    </row>
    <row r="74" spans="2:17" ht="20.25" customHeight="1"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</row>
    <row r="75" spans="2:17" ht="20.25" customHeight="1">
      <c r="B75" s="120" t="s">
        <v>78</v>
      </c>
      <c r="C75" s="121" t="s">
        <v>29</v>
      </c>
      <c r="D75" s="215">
        <f>D65+D73</f>
        <v>0</v>
      </c>
      <c r="E75" s="215">
        <f t="shared" ref="E75:N75" si="16">E65+E73</f>
        <v>0</v>
      </c>
      <c r="F75" s="215">
        <f t="shared" si="16"/>
        <v>0</v>
      </c>
      <c r="G75" s="215">
        <f t="shared" si="16"/>
        <v>0</v>
      </c>
      <c r="H75" s="215">
        <f t="shared" si="16"/>
        <v>0</v>
      </c>
      <c r="I75" s="215">
        <f t="shared" si="16"/>
        <v>0</v>
      </c>
      <c r="J75" s="215">
        <f t="shared" si="16"/>
        <v>0</v>
      </c>
      <c r="K75" s="215">
        <f t="shared" si="16"/>
        <v>0</v>
      </c>
      <c r="L75" s="215">
        <f t="shared" si="16"/>
        <v>0</v>
      </c>
      <c r="M75" s="215">
        <f t="shared" si="16"/>
        <v>0</v>
      </c>
      <c r="N75" s="215">
        <f t="shared" si="16"/>
        <v>0</v>
      </c>
      <c r="O75" s="60"/>
      <c r="P75" s="60"/>
      <c r="Q75" s="60"/>
    </row>
    <row r="76" spans="2:17" ht="20.25" customHeight="1"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</row>
    <row r="77" spans="2:17" ht="21">
      <c r="B77" s="123" t="s">
        <v>79</v>
      </c>
      <c r="C77" s="124"/>
      <c r="D77" s="124"/>
      <c r="E77" s="125"/>
      <c r="F77" s="126"/>
      <c r="G77" s="126"/>
      <c r="H77" s="126"/>
      <c r="I77" s="126"/>
      <c r="J77" s="126"/>
      <c r="K77" s="126"/>
      <c r="L77" s="126"/>
      <c r="M77" s="126"/>
      <c r="N77" s="126"/>
      <c r="O77" s="59"/>
      <c r="P77" s="59"/>
      <c r="Q77" s="59"/>
    </row>
    <row r="78" spans="2:17" ht="20.25" customHeight="1">
      <c r="B78" s="113" t="s">
        <v>76</v>
      </c>
      <c r="C78" s="114"/>
      <c r="D78" s="114"/>
      <c r="E78" s="114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60"/>
      <c r="Q78" s="60"/>
    </row>
    <row r="79" spans="2:17" ht="20.25" customHeight="1">
      <c r="B79" s="109" t="s">
        <v>253</v>
      </c>
      <c r="C79" s="107" t="s">
        <v>29</v>
      </c>
      <c r="D79" s="108">
        <f>'Квартальная отчетность'!J180</f>
        <v>0</v>
      </c>
      <c r="E79" s="108">
        <f>'Квартальная отчетность'!K180</f>
        <v>0</v>
      </c>
      <c r="F79" s="108">
        <f>SUMIF('Квартальная отчетность'!$L$13:$AO$13,F$10,'Квартальная отчетность'!$L180:$AO180)</f>
        <v>0</v>
      </c>
      <c r="G79" s="108">
        <f>SUMIF('Квартальная отчетность'!$L$13:$AO$13,G$10,'Квартальная отчетность'!$L180:$AO180)</f>
        <v>0</v>
      </c>
      <c r="H79" s="108">
        <f>SUMIF('Квартальная отчетность'!$L$13:$AO$13,H$10,'Квартальная отчетность'!$L180:$AO180)</f>
        <v>0</v>
      </c>
      <c r="I79" s="108">
        <f>SUMIF('Квартальная отчетность'!$L$13:$AO$13,I$10,'Квартальная отчетность'!$L180:$AO180)</f>
        <v>0</v>
      </c>
      <c r="J79" s="108">
        <f>SUMIF('Квартальная отчетность'!$L$13:$AO$13,J$10,'Квартальная отчетность'!$L180:$AO180)</f>
        <v>0</v>
      </c>
      <c r="K79" s="108">
        <f>SUMIF('Квартальная отчетность'!$L$13:$AO$13,K$10,'Квартальная отчетность'!$L180:$AO180)</f>
        <v>0</v>
      </c>
      <c r="L79" s="108">
        <f>SUMIF('Квартальная отчетность'!$L$13:$AO$13,L$10,'Квартальная отчетность'!$L180:$AO180)</f>
        <v>0</v>
      </c>
      <c r="M79" s="108">
        <f>SUMIF('Квартальная отчетность'!$L$13:$AO$13,M$10,'Квартальная отчетность'!$L180:$AO180)</f>
        <v>0</v>
      </c>
      <c r="N79" s="108">
        <f>SUMIF('Квартальная отчетность'!$L$13:$AO$13,N$10,'Квартальная отчетность'!$L180:$AO180)</f>
        <v>0</v>
      </c>
      <c r="O79" s="60"/>
    </row>
    <row r="80" spans="2:17" ht="20.25" customHeight="1">
      <c r="B80" s="105" t="s">
        <v>254</v>
      </c>
      <c r="C80" s="107" t="s">
        <v>29</v>
      </c>
      <c r="D80" s="108">
        <f>'Квартальная отчетность'!J181</f>
        <v>0</v>
      </c>
      <c r="E80" s="108">
        <f>'Квартальная отчетность'!K181</f>
        <v>0</v>
      </c>
      <c r="F80" s="108">
        <f>SUMIF('Квартальная отчетность'!$L$13:$AO$13,F$10,'Квартальная отчетность'!$L181:$AO181)</f>
        <v>0</v>
      </c>
      <c r="G80" s="108">
        <f>SUMIF('Квартальная отчетность'!$L$13:$AO$13,G$10,'Квартальная отчетность'!$L181:$AO181)</f>
        <v>0</v>
      </c>
      <c r="H80" s="108">
        <f>SUMIF('Квартальная отчетность'!$L$13:$AO$13,H$10,'Квартальная отчетность'!$L181:$AO181)</f>
        <v>0</v>
      </c>
      <c r="I80" s="108">
        <f>SUMIF('Квартальная отчетность'!$L$13:$AO$13,I$10,'Квартальная отчетность'!$L181:$AO181)</f>
        <v>0</v>
      </c>
      <c r="J80" s="108">
        <f>SUMIF('Квартальная отчетность'!$L$13:$AO$13,J$10,'Квартальная отчетность'!$L181:$AO181)</f>
        <v>0</v>
      </c>
      <c r="K80" s="108">
        <f>SUMIF('Квартальная отчетность'!$L$13:$AO$13,K$10,'Квартальная отчетность'!$L181:$AO181)</f>
        <v>0</v>
      </c>
      <c r="L80" s="108">
        <f>SUMIF('Квартальная отчетность'!$L$13:$AO$13,L$10,'Квартальная отчетность'!$L181:$AO181)</f>
        <v>0</v>
      </c>
      <c r="M80" s="108">
        <f>SUMIF('Квартальная отчетность'!$L$13:$AO$13,M$10,'Квартальная отчетность'!$L181:$AO181)</f>
        <v>0</v>
      </c>
      <c r="N80" s="108">
        <f>SUMIF('Квартальная отчетность'!$L$13:$AO$13,N$10,'Квартальная отчетность'!$L181:$AO181)</f>
        <v>0</v>
      </c>
      <c r="O80" s="60"/>
    </row>
    <row r="81" spans="2:17" ht="20.25" customHeight="1">
      <c r="B81" s="105" t="s">
        <v>255</v>
      </c>
      <c r="C81" s="107" t="s">
        <v>29</v>
      </c>
      <c r="D81" s="108">
        <f>'Квартальная отчетность'!J182</f>
        <v>0</v>
      </c>
      <c r="E81" s="108">
        <f>'Квартальная отчетность'!K182</f>
        <v>0</v>
      </c>
      <c r="F81" s="108">
        <f>SUMIF('Квартальная отчетность'!$L$13:$AO$13,F$10,'Квартальная отчетность'!$L182:$AO182)</f>
        <v>0</v>
      </c>
      <c r="G81" s="108">
        <f>SUMIF('Квартальная отчетность'!$L$13:$AO$13,G$10,'Квартальная отчетность'!$L182:$AO182)</f>
        <v>0</v>
      </c>
      <c r="H81" s="108">
        <f>SUMIF('Квартальная отчетность'!$L$13:$AO$13,H$10,'Квартальная отчетность'!$L182:$AO182)</f>
        <v>0</v>
      </c>
      <c r="I81" s="108">
        <f>SUMIF('Квартальная отчетность'!$L$13:$AO$13,I$10,'Квартальная отчетность'!$L182:$AO182)</f>
        <v>0</v>
      </c>
      <c r="J81" s="108">
        <f>SUMIF('Квартальная отчетность'!$L$13:$AO$13,J$10,'Квартальная отчетность'!$L182:$AO182)</f>
        <v>0</v>
      </c>
      <c r="K81" s="108">
        <f>SUMIF('Квартальная отчетность'!$L$13:$AO$13,K$10,'Квартальная отчетность'!$L182:$AO182)</f>
        <v>0</v>
      </c>
      <c r="L81" s="108">
        <f>SUMIF('Квартальная отчетность'!$L$13:$AO$13,L$10,'Квартальная отчетность'!$L182:$AO182)</f>
        <v>0</v>
      </c>
      <c r="M81" s="108">
        <f>SUMIF('Квартальная отчетность'!$L$13:$AO$13,M$10,'Квартальная отчетность'!$L182:$AO182)</f>
        <v>0</v>
      </c>
      <c r="N81" s="108">
        <f>SUMIF('Квартальная отчетность'!$L$13:$AO$13,N$10,'Квартальная отчетность'!$L182:$AO182)</f>
        <v>0</v>
      </c>
      <c r="O81" s="60"/>
    </row>
    <row r="82" spans="2:17" ht="20.25" customHeight="1">
      <c r="B82" s="105" t="s">
        <v>256</v>
      </c>
      <c r="C82" s="107" t="s">
        <v>29</v>
      </c>
      <c r="D82" s="108">
        <f>'Квартальная отчетность'!J183</f>
        <v>0</v>
      </c>
      <c r="E82" s="108">
        <f>'Квартальная отчетность'!K183</f>
        <v>0</v>
      </c>
      <c r="F82" s="108">
        <f>SUMIF('Квартальная отчетность'!$L$13:$AO$13,F$10,'Квартальная отчетность'!$L183:$AO183)</f>
        <v>0</v>
      </c>
      <c r="G82" s="108">
        <f>SUMIF('Квартальная отчетность'!$L$13:$AO$13,G$10,'Квартальная отчетность'!$L183:$AO183)</f>
        <v>0</v>
      </c>
      <c r="H82" s="108">
        <f>SUMIF('Квартальная отчетность'!$L$13:$AO$13,H$10,'Квартальная отчетность'!$L183:$AO183)</f>
        <v>0</v>
      </c>
      <c r="I82" s="108">
        <f>SUMIF('Квартальная отчетность'!$L$13:$AO$13,I$10,'Квартальная отчетность'!$L183:$AO183)</f>
        <v>0</v>
      </c>
      <c r="J82" s="108">
        <f>SUMIF('Квартальная отчетность'!$L$13:$AO$13,J$10,'Квартальная отчетность'!$L183:$AO183)</f>
        <v>0</v>
      </c>
      <c r="K82" s="108">
        <f>SUMIF('Квартальная отчетность'!$L$13:$AO$13,K$10,'Квартальная отчетность'!$L183:$AO183)</f>
        <v>0</v>
      </c>
      <c r="L82" s="108">
        <f>SUMIF('Квартальная отчетность'!$L$13:$AO$13,L$10,'Квартальная отчетность'!$L183:$AO183)</f>
        <v>0</v>
      </c>
      <c r="M82" s="108">
        <f>SUMIF('Квартальная отчетность'!$L$13:$AO$13,M$10,'Квартальная отчетность'!$L183:$AO183)</f>
        <v>0</v>
      </c>
      <c r="N82" s="108">
        <f>SUMIF('Квартальная отчетность'!$L$13:$AO$13,N$10,'Квартальная отчетность'!$L183:$AO183)</f>
        <v>0</v>
      </c>
      <c r="O82" s="60"/>
    </row>
    <row r="83" spans="2:17" ht="20.25" customHeight="1">
      <c r="B83" s="105" t="s">
        <v>68</v>
      </c>
      <c r="C83" s="107" t="s">
        <v>29</v>
      </c>
      <c r="D83" s="108">
        <f>'Квартальная отчетность'!J184</f>
        <v>0</v>
      </c>
      <c r="E83" s="108">
        <f>'Квартальная отчетность'!K184</f>
        <v>0</v>
      </c>
      <c r="F83" s="108">
        <f>SUMIF('Квартальная отчетность'!$L$13:$AO$13,F$10,'Квартальная отчетность'!$L184:$AO184)</f>
        <v>0</v>
      </c>
      <c r="G83" s="108">
        <f>SUMIF('Квартальная отчетность'!$L$13:$AO$13,G$10,'Квартальная отчетность'!$L184:$AO184)</f>
        <v>0</v>
      </c>
      <c r="H83" s="108">
        <f>SUMIF('Квартальная отчетность'!$L$13:$AO$13,H$10,'Квартальная отчетность'!$L184:$AO184)</f>
        <v>0</v>
      </c>
      <c r="I83" s="108">
        <f>SUMIF('Квартальная отчетность'!$L$13:$AO$13,I$10,'Квартальная отчетность'!$L184:$AO184)</f>
        <v>0</v>
      </c>
      <c r="J83" s="108">
        <f>SUMIF('Квартальная отчетность'!$L$13:$AO$13,J$10,'Квартальная отчетность'!$L184:$AO184)</f>
        <v>0</v>
      </c>
      <c r="K83" s="108">
        <f>SUMIF('Квартальная отчетность'!$L$13:$AO$13,K$10,'Квартальная отчетность'!$L184:$AO184)</f>
        <v>0</v>
      </c>
      <c r="L83" s="108">
        <f>SUMIF('Квартальная отчетность'!$L$13:$AO$13,L$10,'Квартальная отчетность'!$L184:$AO184)</f>
        <v>0</v>
      </c>
      <c r="M83" s="108">
        <f>SUMIF('Квартальная отчетность'!$L$13:$AO$13,M$10,'Квартальная отчетность'!$L184:$AO184)</f>
        <v>0</v>
      </c>
      <c r="N83" s="108">
        <f>SUMIF('Квартальная отчетность'!$L$13:$AO$13,N$10,'Квартальная отчетность'!$L184:$AO184)</f>
        <v>0</v>
      </c>
      <c r="O83" s="60"/>
    </row>
    <row r="84" spans="2:17" ht="20.25" customHeight="1">
      <c r="B84" s="120" t="s">
        <v>71</v>
      </c>
      <c r="C84" s="121" t="s">
        <v>29</v>
      </c>
      <c r="D84" s="215">
        <f>SUM(D79:D83)</f>
        <v>0</v>
      </c>
      <c r="E84" s="215">
        <f t="shared" ref="E84:N84" si="17">SUM(E79:E83)</f>
        <v>0</v>
      </c>
      <c r="F84" s="215">
        <f t="shared" si="17"/>
        <v>0</v>
      </c>
      <c r="G84" s="215">
        <f t="shared" si="17"/>
        <v>0</v>
      </c>
      <c r="H84" s="215">
        <f t="shared" si="17"/>
        <v>0</v>
      </c>
      <c r="I84" s="215">
        <f t="shared" si="17"/>
        <v>0</v>
      </c>
      <c r="J84" s="215">
        <f t="shared" si="17"/>
        <v>0</v>
      </c>
      <c r="K84" s="215">
        <f t="shared" si="17"/>
        <v>0</v>
      </c>
      <c r="L84" s="215">
        <f t="shared" si="17"/>
        <v>0</v>
      </c>
      <c r="M84" s="215">
        <f t="shared" si="17"/>
        <v>0</v>
      </c>
      <c r="N84" s="215">
        <f t="shared" si="17"/>
        <v>0</v>
      </c>
      <c r="O84" s="60"/>
      <c r="P84" s="60"/>
      <c r="Q84" s="60"/>
    </row>
    <row r="85" spans="2:17" ht="20.25" customHeight="1"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</row>
    <row r="86" spans="2:17" ht="20.25" customHeight="1">
      <c r="B86" s="113" t="s">
        <v>77</v>
      </c>
      <c r="C86" s="114"/>
      <c r="D86" s="114"/>
      <c r="E86" s="114"/>
      <c r="F86" s="59"/>
      <c r="G86" s="59"/>
      <c r="H86" s="59"/>
      <c r="I86" s="59"/>
      <c r="J86" s="59"/>
      <c r="K86" s="59"/>
      <c r="L86" s="59"/>
      <c r="M86" s="59"/>
      <c r="N86" s="59"/>
      <c r="O86" s="59"/>
    </row>
    <row r="87" spans="2:17" ht="20.25" customHeight="1">
      <c r="B87" s="105" t="s">
        <v>257</v>
      </c>
      <c r="C87" s="107" t="s">
        <v>29</v>
      </c>
      <c r="D87" s="108">
        <f>'Квартальная отчетность'!J188</f>
        <v>0</v>
      </c>
      <c r="E87" s="108">
        <f>'Квартальная отчетность'!K188</f>
        <v>0</v>
      </c>
      <c r="F87" s="108">
        <f>SUMIF('Квартальная отчетность'!$L$13:$AO$13,F$10,'Квартальная отчетность'!$L188:$AO188)</f>
        <v>0</v>
      </c>
      <c r="G87" s="108">
        <f>SUMIF('Квартальная отчетность'!$L$13:$AO$13,G$10,'Квартальная отчетность'!$L188:$AO188)</f>
        <v>0</v>
      </c>
      <c r="H87" s="108">
        <f>SUMIF('Квартальная отчетность'!$L$13:$AO$13,H$10,'Квартальная отчетность'!$L188:$AO188)</f>
        <v>0</v>
      </c>
      <c r="I87" s="108">
        <f>SUMIF('Квартальная отчетность'!$L$13:$AO$13,I$10,'Квартальная отчетность'!$L188:$AO188)</f>
        <v>0</v>
      </c>
      <c r="J87" s="108">
        <f>SUMIF('Квартальная отчетность'!$L$13:$AO$13,J$10,'Квартальная отчетность'!$L188:$AO188)</f>
        <v>0</v>
      </c>
      <c r="K87" s="108">
        <f>SUMIF('Квартальная отчетность'!$L$13:$AO$13,K$10,'Квартальная отчетность'!$L188:$AO188)</f>
        <v>0</v>
      </c>
      <c r="L87" s="108">
        <f>SUMIF('Квартальная отчетность'!$L$13:$AO$13,L$10,'Квартальная отчетность'!$L188:$AO188)</f>
        <v>0</v>
      </c>
      <c r="M87" s="108">
        <f>SUMIF('Квартальная отчетность'!$L$13:$AO$13,M$10,'Квартальная отчетность'!$L188:$AO188)</f>
        <v>0</v>
      </c>
      <c r="N87" s="108">
        <f>SUMIF('Квартальная отчетность'!$L$13:$AO$13,N$10,'Квартальная отчетность'!$L188:$AO188)</f>
        <v>0</v>
      </c>
      <c r="O87" s="60"/>
    </row>
    <row r="88" spans="2:17" ht="20.25" customHeight="1">
      <c r="B88" s="105" t="s">
        <v>242</v>
      </c>
      <c r="C88" s="107" t="s">
        <v>29</v>
      </c>
      <c r="D88" s="108">
        <f>'Квартальная отчетность'!J189</f>
        <v>0</v>
      </c>
      <c r="E88" s="108">
        <f>'Квартальная отчетность'!K189</f>
        <v>0</v>
      </c>
      <c r="F88" s="108">
        <f>SUMIF('Квартальная отчетность'!$L$13:$AO$13,F$10,'Квартальная отчетность'!$L189:$AO189)</f>
        <v>0</v>
      </c>
      <c r="G88" s="108">
        <f>SUMIF('Квартальная отчетность'!$L$13:$AO$13,G$10,'Квартальная отчетность'!$L189:$AO189)</f>
        <v>0</v>
      </c>
      <c r="H88" s="108">
        <f>SUMIF('Квартальная отчетность'!$L$13:$AO$13,H$10,'Квартальная отчетность'!$L189:$AO189)</f>
        <v>0</v>
      </c>
      <c r="I88" s="108">
        <f>SUMIF('Квартальная отчетность'!$L$13:$AO$13,I$10,'Квартальная отчетность'!$L189:$AO189)</f>
        <v>0</v>
      </c>
      <c r="J88" s="108">
        <f>SUMIF('Квартальная отчетность'!$L$13:$AO$13,J$10,'Квартальная отчетность'!$L189:$AO189)</f>
        <v>0</v>
      </c>
      <c r="K88" s="108">
        <f>SUMIF('Квартальная отчетность'!$L$13:$AO$13,K$10,'Квартальная отчетность'!$L189:$AO189)</f>
        <v>0</v>
      </c>
      <c r="L88" s="108">
        <f>SUMIF('Квартальная отчетность'!$L$13:$AO$13,L$10,'Квартальная отчетность'!$L189:$AO189)</f>
        <v>0</v>
      </c>
      <c r="M88" s="108">
        <f>SUMIF('Квартальная отчетность'!$L$13:$AO$13,M$10,'Квартальная отчетность'!$L189:$AO189)</f>
        <v>0</v>
      </c>
      <c r="N88" s="108">
        <f>SUMIF('Квартальная отчетность'!$L$13:$AO$13,N$10,'Квартальная отчетность'!$L189:$AO189)</f>
        <v>0</v>
      </c>
      <c r="O88" s="60"/>
    </row>
    <row r="89" spans="2:17" ht="20.25" customHeight="1">
      <c r="B89" s="105" t="s">
        <v>258</v>
      </c>
      <c r="C89" s="107" t="s">
        <v>29</v>
      </c>
      <c r="D89" s="108">
        <f>'Квартальная отчетность'!J190</f>
        <v>0</v>
      </c>
      <c r="E89" s="108">
        <f>'Квартальная отчетность'!K190</f>
        <v>0</v>
      </c>
      <c r="F89" s="108">
        <f>SUMIF('Квартальная отчетность'!$L$13:$AO$13,F$10,'Квартальная отчетность'!$L190:$AO190)</f>
        <v>0</v>
      </c>
      <c r="G89" s="108">
        <f>SUMIF('Квартальная отчетность'!$L$13:$AO$13,G$10,'Квартальная отчетность'!$L190:$AO190)</f>
        <v>0</v>
      </c>
      <c r="H89" s="108">
        <f>SUMIF('Квартальная отчетность'!$L$13:$AO$13,H$10,'Квартальная отчетность'!$L190:$AO190)</f>
        <v>0</v>
      </c>
      <c r="I89" s="108">
        <f>SUMIF('Квартальная отчетность'!$L$13:$AO$13,I$10,'Квартальная отчетность'!$L190:$AO190)</f>
        <v>0</v>
      </c>
      <c r="J89" s="108">
        <f>SUMIF('Квартальная отчетность'!$L$13:$AO$13,J$10,'Квартальная отчетность'!$L190:$AO190)</f>
        <v>0</v>
      </c>
      <c r="K89" s="108">
        <f>SUMIF('Квартальная отчетность'!$L$13:$AO$13,K$10,'Квартальная отчетность'!$L190:$AO190)</f>
        <v>0</v>
      </c>
      <c r="L89" s="108">
        <f>SUMIF('Квартальная отчетность'!$L$13:$AO$13,L$10,'Квартальная отчетность'!$L190:$AO190)</f>
        <v>0</v>
      </c>
      <c r="M89" s="108">
        <f>SUMIF('Квартальная отчетность'!$L$13:$AO$13,M$10,'Квартальная отчетность'!$L190:$AO190)</f>
        <v>0</v>
      </c>
      <c r="N89" s="108">
        <f>SUMIF('Квартальная отчетность'!$L$13:$AO$13,N$10,'Квартальная отчетность'!$L190:$AO190)</f>
        <v>0</v>
      </c>
      <c r="O89" s="60"/>
    </row>
    <row r="90" spans="2:17" ht="20.25" customHeight="1">
      <c r="B90" s="105" t="s">
        <v>259</v>
      </c>
      <c r="C90" s="107" t="s">
        <v>29</v>
      </c>
      <c r="D90" s="108">
        <f>'Квартальная отчетность'!J191</f>
        <v>0</v>
      </c>
      <c r="E90" s="108">
        <f>'Квартальная отчетность'!K191</f>
        <v>0</v>
      </c>
      <c r="F90" s="108">
        <f>SUMIF('Квартальная отчетность'!$L$13:$AO$13,F$10,'Квартальная отчетность'!$L191:$AO191)</f>
        <v>0</v>
      </c>
      <c r="G90" s="108">
        <f>SUMIF('Квартальная отчетность'!$L$13:$AO$13,G$10,'Квартальная отчетность'!$L191:$AO191)</f>
        <v>0</v>
      </c>
      <c r="H90" s="108">
        <f>SUMIF('Квартальная отчетность'!$L$13:$AO$13,H$10,'Квартальная отчетность'!$L191:$AO191)</f>
        <v>0</v>
      </c>
      <c r="I90" s="108">
        <f>SUMIF('Квартальная отчетность'!$L$13:$AO$13,I$10,'Квартальная отчетность'!$L191:$AO191)</f>
        <v>0</v>
      </c>
      <c r="J90" s="108">
        <f>SUMIF('Квартальная отчетность'!$L$13:$AO$13,J$10,'Квартальная отчетность'!$L191:$AO191)</f>
        <v>0</v>
      </c>
      <c r="K90" s="108">
        <f>SUMIF('Квартальная отчетность'!$L$13:$AO$13,K$10,'Квартальная отчетность'!$L191:$AO191)</f>
        <v>0</v>
      </c>
      <c r="L90" s="108">
        <f>SUMIF('Квартальная отчетность'!$L$13:$AO$13,L$10,'Квартальная отчетность'!$L191:$AO191)</f>
        <v>0</v>
      </c>
      <c r="M90" s="108">
        <f>SUMIF('Квартальная отчетность'!$L$13:$AO$13,M$10,'Квартальная отчетность'!$L191:$AO191)</f>
        <v>0</v>
      </c>
      <c r="N90" s="108">
        <f>SUMIF('Квартальная отчетность'!$L$13:$AO$13,N$10,'Квартальная отчетность'!$L191:$AO191)</f>
        <v>0</v>
      </c>
      <c r="O90" s="60"/>
    </row>
    <row r="91" spans="2:17" ht="20.25" customHeight="1">
      <c r="B91" s="105" t="s">
        <v>252</v>
      </c>
      <c r="C91" s="107" t="s">
        <v>29</v>
      </c>
      <c r="D91" s="108">
        <f>'Квартальная отчетность'!J192</f>
        <v>0</v>
      </c>
      <c r="E91" s="108">
        <f>'Квартальная отчетность'!K192</f>
        <v>0</v>
      </c>
      <c r="F91" s="108">
        <f>SUMIF('Квартальная отчетность'!$L$13:$AO$13,F$10,'Квартальная отчетность'!$L192:$AO192)</f>
        <v>0</v>
      </c>
      <c r="G91" s="108">
        <f>SUMIF('Квартальная отчетность'!$L$13:$AO$13,G$10,'Квартальная отчетность'!$L192:$AO192)</f>
        <v>0</v>
      </c>
      <c r="H91" s="108">
        <f>SUMIF('Квартальная отчетность'!$L$13:$AO$13,H$10,'Квартальная отчетность'!$L192:$AO192)</f>
        <v>0</v>
      </c>
      <c r="I91" s="108">
        <f>SUMIF('Квартальная отчетность'!$L$13:$AO$13,I$10,'Квартальная отчетность'!$L192:$AO192)</f>
        <v>0</v>
      </c>
      <c r="J91" s="108">
        <f>SUMIF('Квартальная отчетность'!$L$13:$AO$13,J$10,'Квартальная отчетность'!$L192:$AO192)</f>
        <v>0</v>
      </c>
      <c r="K91" s="108">
        <f>SUMIF('Квартальная отчетность'!$L$13:$AO$13,K$10,'Квартальная отчетность'!$L192:$AO192)</f>
        <v>0</v>
      </c>
      <c r="L91" s="108">
        <f>SUMIF('Квартальная отчетность'!$L$13:$AO$13,L$10,'Квартальная отчетность'!$L192:$AO192)</f>
        <v>0</v>
      </c>
      <c r="M91" s="108">
        <f>SUMIF('Квартальная отчетность'!$L$13:$AO$13,M$10,'Квартальная отчетность'!$L192:$AO192)</f>
        <v>0</v>
      </c>
      <c r="N91" s="108">
        <f>SUMIF('Квартальная отчетность'!$L$13:$AO$13,N$10,'Квартальная отчетность'!$L192:$AO192)</f>
        <v>0</v>
      </c>
      <c r="O91" s="60"/>
    </row>
    <row r="92" spans="2:17" ht="20.25" customHeight="1">
      <c r="B92" s="120" t="s">
        <v>71</v>
      </c>
      <c r="C92" s="121" t="s">
        <v>29</v>
      </c>
      <c r="D92" s="215">
        <f>SUM(D87:D91)</f>
        <v>0</v>
      </c>
      <c r="E92" s="215">
        <f t="shared" ref="E92:N92" si="18">SUM(E87:E91)</f>
        <v>0</v>
      </c>
      <c r="F92" s="215">
        <f t="shared" si="18"/>
        <v>0</v>
      </c>
      <c r="G92" s="215">
        <f t="shared" si="18"/>
        <v>0</v>
      </c>
      <c r="H92" s="215">
        <f t="shared" si="18"/>
        <v>0</v>
      </c>
      <c r="I92" s="215">
        <f t="shared" si="18"/>
        <v>0</v>
      </c>
      <c r="J92" s="215">
        <f t="shared" si="18"/>
        <v>0</v>
      </c>
      <c r="K92" s="215">
        <f t="shared" si="18"/>
        <v>0</v>
      </c>
      <c r="L92" s="215">
        <f t="shared" si="18"/>
        <v>0</v>
      </c>
      <c r="M92" s="215">
        <f t="shared" si="18"/>
        <v>0</v>
      </c>
      <c r="N92" s="215">
        <f t="shared" si="18"/>
        <v>0</v>
      </c>
      <c r="O92" s="60"/>
      <c r="P92" s="60"/>
      <c r="Q92" s="60"/>
    </row>
    <row r="93" spans="2:17" ht="20.25" customHeight="1"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</row>
    <row r="94" spans="2:17" ht="20.25" customHeight="1">
      <c r="B94" s="120" t="s">
        <v>80</v>
      </c>
      <c r="C94" s="121" t="s">
        <v>29</v>
      </c>
      <c r="D94" s="215">
        <f>D84+D92</f>
        <v>0</v>
      </c>
      <c r="E94" s="215">
        <f t="shared" ref="E94:N94" si="19">E84+E92</f>
        <v>0</v>
      </c>
      <c r="F94" s="215">
        <f t="shared" si="19"/>
        <v>0</v>
      </c>
      <c r="G94" s="215">
        <f t="shared" si="19"/>
        <v>0</v>
      </c>
      <c r="H94" s="215">
        <f t="shared" si="19"/>
        <v>0</v>
      </c>
      <c r="I94" s="215">
        <f t="shared" si="19"/>
        <v>0</v>
      </c>
      <c r="J94" s="215">
        <f t="shared" si="19"/>
        <v>0</v>
      </c>
      <c r="K94" s="215">
        <f t="shared" si="19"/>
        <v>0</v>
      </c>
      <c r="L94" s="215">
        <f t="shared" si="19"/>
        <v>0</v>
      </c>
      <c r="M94" s="215">
        <f t="shared" si="19"/>
        <v>0</v>
      </c>
      <c r="N94" s="215">
        <f t="shared" si="19"/>
        <v>0</v>
      </c>
      <c r="O94" s="60"/>
      <c r="P94" s="60"/>
      <c r="Q94" s="60"/>
    </row>
    <row r="95" spans="2:17" ht="20.25" customHeight="1"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</row>
    <row r="96" spans="2:17" ht="21">
      <c r="B96" s="123" t="s">
        <v>81</v>
      </c>
      <c r="C96" s="124"/>
      <c r="D96" s="124"/>
      <c r="E96" s="125"/>
      <c r="F96" s="126"/>
      <c r="G96" s="126"/>
      <c r="H96" s="126"/>
      <c r="I96" s="126"/>
      <c r="J96" s="126"/>
      <c r="K96" s="126"/>
      <c r="L96" s="126"/>
      <c r="M96" s="126"/>
      <c r="N96" s="126"/>
      <c r="O96" s="59"/>
      <c r="P96" s="59"/>
      <c r="Q96" s="59"/>
    </row>
    <row r="97" spans="2:17" ht="20.25" customHeight="1">
      <c r="B97" s="113" t="s">
        <v>76</v>
      </c>
      <c r="C97" s="114"/>
      <c r="D97" s="114"/>
      <c r="E97" s="114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60"/>
      <c r="Q97" s="60"/>
    </row>
    <row r="98" spans="2:17" ht="20.25" customHeight="1">
      <c r="B98" s="105" t="s">
        <v>82</v>
      </c>
      <c r="C98" s="107" t="s">
        <v>29</v>
      </c>
      <c r="D98" s="108">
        <f>'Квартальная отчетность'!J199</f>
        <v>0</v>
      </c>
      <c r="E98" s="108">
        <f>'Квартальная отчетность'!K199</f>
        <v>0</v>
      </c>
      <c r="F98" s="108">
        <f>SUMIF('Квартальная отчетность'!$L$13:$AO$13,F$10,'Квартальная отчетность'!$L199:$AO199)</f>
        <v>0</v>
      </c>
      <c r="G98" s="108">
        <f>SUMIF('Квартальная отчетность'!$L$13:$AO$13,G$10,'Квартальная отчетность'!$L199:$AO199)</f>
        <v>0</v>
      </c>
      <c r="H98" s="108">
        <f>SUMIF('Квартальная отчетность'!$L$13:$AO$13,H$10,'Квартальная отчетность'!$L199:$AO199)</f>
        <v>0</v>
      </c>
      <c r="I98" s="108">
        <f>SUMIF('Квартальная отчетность'!$L$13:$AO$13,I$10,'Квартальная отчетность'!$L199:$AO199)</f>
        <v>0</v>
      </c>
      <c r="J98" s="108">
        <f>SUMIF('Квартальная отчетность'!$L$13:$AO$13,J$10,'Квартальная отчетность'!$L199:$AO199)</f>
        <v>0</v>
      </c>
      <c r="K98" s="108">
        <f>SUMIF('Квартальная отчетность'!$L$13:$AO$13,K$10,'Квартальная отчетность'!$L199:$AO199)</f>
        <v>0</v>
      </c>
      <c r="L98" s="108">
        <f>SUMIF('Квартальная отчетность'!$L$13:$AO$13,L$10,'Квартальная отчетность'!$L199:$AO199)</f>
        <v>0</v>
      </c>
      <c r="M98" s="108">
        <f>SUMIF('Квартальная отчетность'!$L$13:$AO$13,M$10,'Квартальная отчетность'!$L199:$AO199)</f>
        <v>0</v>
      </c>
      <c r="N98" s="108">
        <f>SUMIF('Квартальная отчетность'!$L$13:$AO$13,N$10,'Квартальная отчетность'!$L199:$AO199)</f>
        <v>0</v>
      </c>
      <c r="O98" s="60"/>
      <c r="P98" s="60"/>
      <c r="Q98" s="60"/>
    </row>
    <row r="99" spans="2:17" ht="20.25" customHeight="1">
      <c r="B99" s="105" t="s">
        <v>270</v>
      </c>
      <c r="C99" s="107" t="s">
        <v>29</v>
      </c>
      <c r="D99" s="108">
        <f>'Квартальная отчетность'!J210</f>
        <v>0</v>
      </c>
      <c r="E99" s="108">
        <f>'Квартальная отчетность'!K210</f>
        <v>0</v>
      </c>
      <c r="F99" s="108">
        <f>SUMIF('Квартальная отчетность'!$L$13:$AO$13,F$10,'Квартальная отчетность'!$L210:$AO210)</f>
        <v>0</v>
      </c>
      <c r="G99" s="108">
        <f>SUMIF('Квартальная отчетность'!$L$13:$AO$13,G$10,'Квартальная отчетность'!$L210:$AO210)</f>
        <v>0</v>
      </c>
      <c r="H99" s="108">
        <f>SUMIF('Квартальная отчетность'!$L$13:$AO$13,H$10,'Квартальная отчетность'!$L210:$AO210)</f>
        <v>0</v>
      </c>
      <c r="I99" s="108">
        <f>SUMIF('Квартальная отчетность'!$L$13:$AO$13,I$10,'Квартальная отчетность'!$L210:$AO210)</f>
        <v>0</v>
      </c>
      <c r="J99" s="108">
        <f>SUMIF('Квартальная отчетность'!$L$13:$AO$13,J$10,'Квартальная отчетность'!$L210:$AO210)</f>
        <v>0</v>
      </c>
      <c r="K99" s="108">
        <f>SUMIF('Квартальная отчетность'!$L$13:$AO$13,K$10,'Квартальная отчетность'!$L210:$AO210)</f>
        <v>0</v>
      </c>
      <c r="L99" s="108">
        <f>SUMIF('Квартальная отчетность'!$L$13:$AO$13,L$10,'Квартальная отчетность'!$L210:$AO210)</f>
        <v>0</v>
      </c>
      <c r="M99" s="108">
        <f>SUMIF('Квартальная отчетность'!$L$13:$AO$13,M$10,'Квартальная отчетность'!$L210:$AO210)</f>
        <v>0</v>
      </c>
      <c r="N99" s="108">
        <f>SUMIF('Квартальная отчетность'!$L$13:$AO$13,N$10,'Квартальная отчетность'!$L210:$AO210)</f>
        <v>0</v>
      </c>
      <c r="O99" s="60"/>
      <c r="P99" s="60"/>
      <c r="Q99" s="60"/>
    </row>
    <row r="100" spans="2:17" ht="20.25" customHeight="1">
      <c r="B100" s="105" t="s">
        <v>271</v>
      </c>
      <c r="C100" s="107" t="s">
        <v>29</v>
      </c>
      <c r="D100" s="108">
        <f>'Квартальная отчетность'!J211</f>
        <v>0</v>
      </c>
      <c r="E100" s="108">
        <f>'Квартальная отчетность'!K211</f>
        <v>0</v>
      </c>
      <c r="F100" s="108">
        <f>SUMIF('Квартальная отчетность'!$L$13:$AO$13,F$10,'Квартальная отчетность'!$L211:$AO211)</f>
        <v>0</v>
      </c>
      <c r="G100" s="108">
        <f>SUMIF('Квартальная отчетность'!$L$13:$AO$13,G$10,'Квартальная отчетность'!$L211:$AO211)</f>
        <v>0</v>
      </c>
      <c r="H100" s="108">
        <f>SUMIF('Квартальная отчетность'!$L$13:$AO$13,H$10,'Квартальная отчетность'!$L211:$AO211)</f>
        <v>0</v>
      </c>
      <c r="I100" s="108">
        <f>SUMIF('Квартальная отчетность'!$L$13:$AO$13,I$10,'Квартальная отчетность'!$L211:$AO211)</f>
        <v>0</v>
      </c>
      <c r="J100" s="108">
        <f>SUMIF('Квартальная отчетность'!$L$13:$AO$13,J$10,'Квартальная отчетность'!$L211:$AO211)</f>
        <v>0</v>
      </c>
      <c r="K100" s="108">
        <f>SUMIF('Квартальная отчетность'!$L$13:$AO$13,K$10,'Квартальная отчетность'!$L211:$AO211)</f>
        <v>0</v>
      </c>
      <c r="L100" s="108">
        <f>SUMIF('Квартальная отчетность'!$L$13:$AO$13,L$10,'Квартальная отчетность'!$L211:$AO211)</f>
        <v>0</v>
      </c>
      <c r="M100" s="108">
        <f>SUMIF('Квартальная отчетность'!$L$13:$AO$13,M$10,'Квартальная отчетность'!$L211:$AO211)</f>
        <v>0</v>
      </c>
      <c r="N100" s="108">
        <f>SUMIF('Квартальная отчетность'!$L$13:$AO$13,N$10,'Квартальная отчетность'!$L211:$AO211)</f>
        <v>0</v>
      </c>
      <c r="O100" s="60"/>
      <c r="P100" s="60"/>
      <c r="Q100" s="60"/>
    </row>
    <row r="101" spans="2:17" ht="20.25" customHeight="1">
      <c r="B101" s="105" t="s">
        <v>272</v>
      </c>
      <c r="C101" s="107" t="s">
        <v>29</v>
      </c>
      <c r="D101" s="108">
        <f>'Квартальная отчетность'!J212</f>
        <v>0</v>
      </c>
      <c r="E101" s="108">
        <f>'Квартальная отчетность'!K212</f>
        <v>0</v>
      </c>
      <c r="F101" s="108">
        <f>SUMIF('Квартальная отчетность'!$L$13:$AO$13,F$10,'Квартальная отчетность'!$L212:$AO212)</f>
        <v>0</v>
      </c>
      <c r="G101" s="108">
        <f>SUMIF('Квартальная отчетность'!$L$13:$AO$13,G$10,'Квартальная отчетность'!$L212:$AO212)</f>
        <v>0</v>
      </c>
      <c r="H101" s="108">
        <f>SUMIF('Квартальная отчетность'!$L$13:$AO$13,H$10,'Квартальная отчетность'!$L212:$AO212)</f>
        <v>0</v>
      </c>
      <c r="I101" s="108">
        <f>SUMIF('Квартальная отчетность'!$L$13:$AO$13,I$10,'Квартальная отчетность'!$L212:$AO212)</f>
        <v>0</v>
      </c>
      <c r="J101" s="108">
        <f>SUMIF('Квартальная отчетность'!$L$13:$AO$13,J$10,'Квартальная отчетность'!$L212:$AO212)</f>
        <v>0</v>
      </c>
      <c r="K101" s="108">
        <f>SUMIF('Квартальная отчетность'!$L$13:$AO$13,K$10,'Квартальная отчетность'!$L212:$AO212)</f>
        <v>0</v>
      </c>
      <c r="L101" s="108">
        <f>SUMIF('Квартальная отчетность'!$L$13:$AO$13,L$10,'Квартальная отчетность'!$L212:$AO212)</f>
        <v>0</v>
      </c>
      <c r="M101" s="108">
        <f>SUMIF('Квартальная отчетность'!$L$13:$AO$13,M$10,'Квартальная отчетность'!$L212:$AO212)</f>
        <v>0</v>
      </c>
      <c r="N101" s="108">
        <f>SUMIF('Квартальная отчетность'!$L$13:$AO$13,N$10,'Квартальная отчетность'!$L212:$AO212)</f>
        <v>0</v>
      </c>
      <c r="O101" s="60"/>
    </row>
    <row r="102" spans="2:17" ht="20.25" customHeight="1">
      <c r="B102" s="105" t="s">
        <v>68</v>
      </c>
      <c r="C102" s="107" t="s">
        <v>29</v>
      </c>
      <c r="D102" s="108">
        <f>'Квартальная отчетность'!J213</f>
        <v>0</v>
      </c>
      <c r="E102" s="108">
        <f>'Квартальная отчетность'!K213</f>
        <v>0</v>
      </c>
      <c r="F102" s="108">
        <f>SUMIF('Квартальная отчетность'!$L$13:$AO$13,F$10,'Квартальная отчетность'!$L213:$AO213)</f>
        <v>0</v>
      </c>
      <c r="G102" s="108">
        <f>SUMIF('Квартальная отчетность'!$L$13:$AO$13,G$10,'Квартальная отчетность'!$L213:$AO213)</f>
        <v>0</v>
      </c>
      <c r="H102" s="108">
        <f>SUMIF('Квартальная отчетность'!$L$13:$AO$13,H$10,'Квартальная отчетность'!$L213:$AO213)</f>
        <v>0</v>
      </c>
      <c r="I102" s="108">
        <f>SUMIF('Квартальная отчетность'!$L$13:$AO$13,I$10,'Квартальная отчетность'!$L213:$AO213)</f>
        <v>0</v>
      </c>
      <c r="J102" s="108">
        <f>SUMIF('Квартальная отчетность'!$L$13:$AO$13,J$10,'Квартальная отчетность'!$L213:$AO213)</f>
        <v>0</v>
      </c>
      <c r="K102" s="108">
        <f>SUMIF('Квартальная отчетность'!$L$13:$AO$13,K$10,'Квартальная отчетность'!$L213:$AO213)</f>
        <v>0</v>
      </c>
      <c r="L102" s="108">
        <f>SUMIF('Квартальная отчетность'!$L$13:$AO$13,L$10,'Квартальная отчетность'!$L213:$AO213)</f>
        <v>0</v>
      </c>
      <c r="M102" s="108">
        <f>SUMIF('Квартальная отчетность'!$L$13:$AO$13,M$10,'Квартальная отчетность'!$L213:$AO213)</f>
        <v>0</v>
      </c>
      <c r="N102" s="108">
        <f>SUMIF('Квартальная отчетность'!$L$13:$AO$13,N$10,'Квартальная отчетность'!$L213:$AO213)</f>
        <v>0</v>
      </c>
      <c r="O102" s="60"/>
    </row>
    <row r="103" spans="2:17" ht="20.25" customHeight="1">
      <c r="B103" s="120" t="s">
        <v>71</v>
      </c>
      <c r="C103" s="121" t="s">
        <v>29</v>
      </c>
      <c r="D103" s="215">
        <f>SUM(D98:D102)</f>
        <v>0</v>
      </c>
      <c r="E103" s="215">
        <f t="shared" ref="E103:N103" si="20">SUM(E98:E102)</f>
        <v>0</v>
      </c>
      <c r="F103" s="215">
        <f t="shared" si="20"/>
        <v>0</v>
      </c>
      <c r="G103" s="215">
        <f t="shared" si="20"/>
        <v>0</v>
      </c>
      <c r="H103" s="215">
        <f t="shared" si="20"/>
        <v>0</v>
      </c>
      <c r="I103" s="215">
        <f t="shared" si="20"/>
        <v>0</v>
      </c>
      <c r="J103" s="215">
        <f t="shared" si="20"/>
        <v>0</v>
      </c>
      <c r="K103" s="215">
        <f t="shared" si="20"/>
        <v>0</v>
      </c>
      <c r="L103" s="215">
        <f t="shared" si="20"/>
        <v>0</v>
      </c>
      <c r="M103" s="215">
        <f t="shared" si="20"/>
        <v>0</v>
      </c>
      <c r="N103" s="215">
        <f t="shared" si="20"/>
        <v>0</v>
      </c>
      <c r="O103" s="60"/>
      <c r="P103" s="60"/>
      <c r="Q103" s="60"/>
    </row>
    <row r="104" spans="2:17" ht="20.25" customHeight="1"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</row>
    <row r="105" spans="2:17" ht="20.25" customHeight="1">
      <c r="B105" s="113" t="s">
        <v>77</v>
      </c>
      <c r="C105" s="114"/>
      <c r="D105" s="114"/>
      <c r="E105" s="114"/>
      <c r="F105" s="59"/>
      <c r="G105" s="59"/>
      <c r="H105" s="59"/>
      <c r="I105" s="59"/>
      <c r="J105" s="59"/>
      <c r="K105" s="59"/>
      <c r="L105" s="59"/>
      <c r="M105" s="59"/>
      <c r="N105" s="59"/>
      <c r="O105" s="59"/>
    </row>
    <row r="106" spans="2:17" ht="20.25" customHeight="1">
      <c r="B106" s="105" t="s">
        <v>273</v>
      </c>
      <c r="C106" s="107" t="s">
        <v>29</v>
      </c>
      <c r="D106" s="108">
        <f>'Квартальная отчетность'!J217</f>
        <v>0</v>
      </c>
      <c r="E106" s="108">
        <f>'Квартальная отчетность'!K217</f>
        <v>0</v>
      </c>
      <c r="F106" s="108">
        <f>SUMIF('Квартальная отчетность'!$L$13:$AO$13,F$10,'Квартальная отчетность'!$L217:$AO217)</f>
        <v>0</v>
      </c>
      <c r="G106" s="108">
        <f>SUMIF('Квартальная отчетность'!$L$13:$AO$13,G$10,'Квартальная отчетность'!$L217:$AO217)</f>
        <v>0</v>
      </c>
      <c r="H106" s="108">
        <f>SUMIF('Квартальная отчетность'!$L$13:$AO$13,H$10,'Квартальная отчетность'!$L217:$AO217)</f>
        <v>0</v>
      </c>
      <c r="I106" s="108">
        <f>SUMIF('Квартальная отчетность'!$L$13:$AO$13,I$10,'Квартальная отчетность'!$L217:$AO217)</f>
        <v>0</v>
      </c>
      <c r="J106" s="108">
        <f>SUMIF('Квартальная отчетность'!$L$13:$AO$13,J$10,'Квартальная отчетность'!$L217:$AO217)</f>
        <v>0</v>
      </c>
      <c r="K106" s="108">
        <f>SUMIF('Квартальная отчетность'!$L$13:$AO$13,K$10,'Квартальная отчетность'!$L217:$AO217)</f>
        <v>0</v>
      </c>
      <c r="L106" s="108">
        <f>SUMIF('Квартальная отчетность'!$L$13:$AO$13,L$10,'Квартальная отчетность'!$L217:$AO217)</f>
        <v>0</v>
      </c>
      <c r="M106" s="108">
        <f>SUMIF('Квартальная отчетность'!$L$13:$AO$13,M$10,'Квартальная отчетность'!$L217:$AO217)</f>
        <v>0</v>
      </c>
      <c r="N106" s="108">
        <f>SUMIF('Квартальная отчетность'!$L$13:$AO$13,N$10,'Квартальная отчетность'!$L217:$AO217)</f>
        <v>0</v>
      </c>
      <c r="O106" s="60"/>
    </row>
    <row r="107" spans="2:17" ht="20.25" customHeight="1">
      <c r="B107" s="105" t="s">
        <v>274</v>
      </c>
      <c r="C107" s="107" t="s">
        <v>29</v>
      </c>
      <c r="D107" s="108">
        <f>'Квартальная отчетность'!J218</f>
        <v>0</v>
      </c>
      <c r="E107" s="108">
        <f>'Квартальная отчетность'!K218</f>
        <v>0</v>
      </c>
      <c r="F107" s="108">
        <f>SUMIF('Квартальная отчетность'!$L$13:$AO$13,F$10,'Квартальная отчетность'!$L218:$AO218)</f>
        <v>0</v>
      </c>
      <c r="G107" s="108">
        <f>SUMIF('Квартальная отчетность'!$L$13:$AO$13,G$10,'Квартальная отчетность'!$L218:$AO218)</f>
        <v>0</v>
      </c>
      <c r="H107" s="108">
        <f>SUMIF('Квартальная отчетность'!$L$13:$AO$13,H$10,'Квартальная отчетность'!$L218:$AO218)</f>
        <v>0</v>
      </c>
      <c r="I107" s="108">
        <f>SUMIF('Квартальная отчетность'!$L$13:$AO$13,I$10,'Квартальная отчетность'!$L218:$AO218)</f>
        <v>0</v>
      </c>
      <c r="J107" s="108">
        <f>SUMIF('Квартальная отчетность'!$L$13:$AO$13,J$10,'Квартальная отчетность'!$L218:$AO218)</f>
        <v>0</v>
      </c>
      <c r="K107" s="108">
        <f>SUMIF('Квартальная отчетность'!$L$13:$AO$13,K$10,'Квартальная отчетность'!$L218:$AO218)</f>
        <v>0</v>
      </c>
      <c r="L107" s="108">
        <f>SUMIF('Квартальная отчетность'!$L$13:$AO$13,L$10,'Квартальная отчетность'!$L218:$AO218)</f>
        <v>0</v>
      </c>
      <c r="M107" s="108">
        <f>SUMIF('Квартальная отчетность'!$L$13:$AO$13,M$10,'Квартальная отчетность'!$L218:$AO218)</f>
        <v>0</v>
      </c>
      <c r="N107" s="108">
        <f>SUMIF('Квартальная отчетность'!$L$13:$AO$13,N$10,'Квартальная отчетность'!$L218:$AO218)</f>
        <v>0</v>
      </c>
      <c r="O107" s="60"/>
    </row>
    <row r="108" spans="2:17" ht="20.25" customHeight="1">
      <c r="B108" s="105" t="s">
        <v>226</v>
      </c>
      <c r="C108" s="107" t="s">
        <v>29</v>
      </c>
      <c r="D108" s="108">
        <f>'Квартальная отчетность'!J219</f>
        <v>0</v>
      </c>
      <c r="E108" s="108">
        <f>'Квартальная отчетность'!K219</f>
        <v>0</v>
      </c>
      <c r="F108" s="108">
        <f>SUMIF('Квартальная отчетность'!$L$13:$AO$13,F$10,'Квартальная отчетность'!$L219:$AO219)</f>
        <v>0</v>
      </c>
      <c r="G108" s="108">
        <f>SUMIF('Квартальная отчетность'!$L$13:$AO$13,G$10,'Квартальная отчетность'!$L219:$AO219)</f>
        <v>0</v>
      </c>
      <c r="H108" s="108">
        <f>SUMIF('Квартальная отчетность'!$L$13:$AO$13,H$10,'Квартальная отчетность'!$L219:$AO219)</f>
        <v>0</v>
      </c>
      <c r="I108" s="108">
        <f>SUMIF('Квартальная отчетность'!$L$13:$AO$13,I$10,'Квартальная отчетность'!$L219:$AO219)</f>
        <v>0</v>
      </c>
      <c r="J108" s="108">
        <f>SUMIF('Квартальная отчетность'!$L$13:$AO$13,J$10,'Квартальная отчетность'!$L219:$AO219)</f>
        <v>0</v>
      </c>
      <c r="K108" s="108">
        <f>SUMIF('Квартальная отчетность'!$L$13:$AO$13,K$10,'Квартальная отчетность'!$L219:$AO219)</f>
        <v>0</v>
      </c>
      <c r="L108" s="108">
        <f>SUMIF('Квартальная отчетность'!$L$13:$AO$13,L$10,'Квартальная отчетность'!$L219:$AO219)</f>
        <v>0</v>
      </c>
      <c r="M108" s="108">
        <f>SUMIF('Квартальная отчетность'!$L$13:$AO$13,M$10,'Квартальная отчетность'!$L219:$AO219)</f>
        <v>0</v>
      </c>
      <c r="N108" s="108">
        <f>SUMIF('Квартальная отчетность'!$L$13:$AO$13,N$10,'Квартальная отчетность'!$L219:$AO219)</f>
        <v>0</v>
      </c>
      <c r="O108" s="60"/>
    </row>
    <row r="109" spans="2:17" ht="20.25" customHeight="1">
      <c r="B109" s="120" t="s">
        <v>71</v>
      </c>
      <c r="C109" s="121" t="s">
        <v>29</v>
      </c>
      <c r="D109" s="215">
        <f>SUM(D106:D108)</f>
        <v>0</v>
      </c>
      <c r="E109" s="215">
        <f t="shared" ref="E109:N109" si="21">SUM(E106:E108)</f>
        <v>0</v>
      </c>
      <c r="F109" s="215">
        <f t="shared" si="21"/>
        <v>0</v>
      </c>
      <c r="G109" s="215">
        <f t="shared" si="21"/>
        <v>0</v>
      </c>
      <c r="H109" s="215">
        <f t="shared" si="21"/>
        <v>0</v>
      </c>
      <c r="I109" s="215">
        <f t="shared" si="21"/>
        <v>0</v>
      </c>
      <c r="J109" s="215">
        <f t="shared" si="21"/>
        <v>0</v>
      </c>
      <c r="K109" s="215">
        <f t="shared" si="21"/>
        <v>0</v>
      </c>
      <c r="L109" s="215">
        <f t="shared" si="21"/>
        <v>0</v>
      </c>
      <c r="M109" s="215">
        <f t="shared" si="21"/>
        <v>0</v>
      </c>
      <c r="N109" s="215">
        <f t="shared" si="21"/>
        <v>0</v>
      </c>
      <c r="O109" s="60"/>
      <c r="P109" s="60"/>
      <c r="Q109" s="60"/>
    </row>
    <row r="110" spans="2:17" ht="10.9" customHeight="1"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</row>
    <row r="111" spans="2:17" ht="20.25" customHeight="1">
      <c r="B111" s="120" t="s">
        <v>83</v>
      </c>
      <c r="C111" s="121" t="s">
        <v>29</v>
      </c>
      <c r="D111" s="215">
        <f>D103+D109</f>
        <v>0</v>
      </c>
      <c r="E111" s="215">
        <f t="shared" ref="E111:N111" si="22">E103+E109</f>
        <v>0</v>
      </c>
      <c r="F111" s="215">
        <f t="shared" si="22"/>
        <v>0</v>
      </c>
      <c r="G111" s="215">
        <f t="shared" si="22"/>
        <v>0</v>
      </c>
      <c r="H111" s="215">
        <f t="shared" si="22"/>
        <v>0</v>
      </c>
      <c r="I111" s="215">
        <f t="shared" si="22"/>
        <v>0</v>
      </c>
      <c r="J111" s="215">
        <f t="shared" si="22"/>
        <v>0</v>
      </c>
      <c r="K111" s="215">
        <f t="shared" si="22"/>
        <v>0</v>
      </c>
      <c r="L111" s="215">
        <f t="shared" si="22"/>
        <v>0</v>
      </c>
      <c r="M111" s="215">
        <f t="shared" si="22"/>
        <v>0</v>
      </c>
      <c r="N111" s="215">
        <f t="shared" si="22"/>
        <v>0</v>
      </c>
      <c r="O111" s="60"/>
      <c r="P111" s="60"/>
      <c r="Q111" s="60"/>
    </row>
    <row r="112" spans="2:17" ht="12" customHeight="1"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</row>
    <row r="113" spans="2:17" ht="20.25" customHeight="1">
      <c r="B113" s="112" t="s">
        <v>84</v>
      </c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</row>
    <row r="114" spans="2:17" ht="20.25" customHeight="1">
      <c r="B114" s="105" t="s">
        <v>85</v>
      </c>
      <c r="C114" s="107" t="s">
        <v>29</v>
      </c>
      <c r="D114" s="282">
        <f>'Квартальная отчетность'!J235</f>
        <v>450</v>
      </c>
      <c r="E114" s="282">
        <f>'Квартальная отчетность'!K235</f>
        <v>450</v>
      </c>
      <c r="F114" s="282">
        <f>'Квартальная отчетность'!L235</f>
        <v>450</v>
      </c>
      <c r="G114" s="282">
        <f>F116</f>
        <v>450</v>
      </c>
      <c r="H114" s="282">
        <f t="shared" ref="H114:N114" si="23">G116</f>
        <v>450</v>
      </c>
      <c r="I114" s="282">
        <f t="shared" si="23"/>
        <v>450</v>
      </c>
      <c r="J114" s="282">
        <f t="shared" si="23"/>
        <v>450</v>
      </c>
      <c r="K114" s="282">
        <f t="shared" si="23"/>
        <v>450</v>
      </c>
      <c r="L114" s="282">
        <f t="shared" si="23"/>
        <v>450</v>
      </c>
      <c r="M114" s="282">
        <f t="shared" si="23"/>
        <v>450</v>
      </c>
      <c r="N114" s="282">
        <f t="shared" si="23"/>
        <v>450</v>
      </c>
      <c r="O114" s="60"/>
      <c r="P114" s="60"/>
      <c r="Q114" s="60"/>
    </row>
    <row r="115" spans="2:17" ht="20.25" customHeight="1">
      <c r="B115" s="105" t="s">
        <v>86</v>
      </c>
      <c r="C115" s="107" t="s">
        <v>29</v>
      </c>
      <c r="D115" s="282">
        <f>'Квартальная отчетность'!J236</f>
        <v>0</v>
      </c>
      <c r="E115" s="282">
        <f>'Квартальная отчетность'!K236</f>
        <v>0</v>
      </c>
      <c r="F115" s="282">
        <f>F111+F94+F75</f>
        <v>0</v>
      </c>
      <c r="G115" s="282">
        <f t="shared" ref="G115:N115" si="24">G111+G94+G75</f>
        <v>0</v>
      </c>
      <c r="H115" s="282">
        <f t="shared" si="24"/>
        <v>0</v>
      </c>
      <c r="I115" s="282">
        <f t="shared" si="24"/>
        <v>0</v>
      </c>
      <c r="J115" s="282">
        <f t="shared" si="24"/>
        <v>0</v>
      </c>
      <c r="K115" s="282">
        <f t="shared" si="24"/>
        <v>0</v>
      </c>
      <c r="L115" s="282">
        <f t="shared" si="24"/>
        <v>0</v>
      </c>
      <c r="M115" s="282">
        <f t="shared" si="24"/>
        <v>0</v>
      </c>
      <c r="N115" s="282">
        <f t="shared" si="24"/>
        <v>0</v>
      </c>
      <c r="O115" s="60"/>
      <c r="P115" s="60"/>
      <c r="Q115" s="60"/>
    </row>
    <row r="116" spans="2:17" ht="20.25" customHeight="1">
      <c r="B116" s="120" t="s">
        <v>87</v>
      </c>
      <c r="C116" s="121" t="s">
        <v>29</v>
      </c>
      <c r="D116" s="215">
        <f>SUM(D114:D115)</f>
        <v>450</v>
      </c>
      <c r="E116" s="215">
        <f>SUM(E114:E115)</f>
        <v>450</v>
      </c>
      <c r="F116" s="215">
        <f>F114+F115</f>
        <v>450</v>
      </c>
      <c r="G116" s="215">
        <f t="shared" ref="G116:N116" si="25">G114+G115</f>
        <v>450</v>
      </c>
      <c r="H116" s="215">
        <f t="shared" si="25"/>
        <v>450</v>
      </c>
      <c r="I116" s="215">
        <f t="shared" si="25"/>
        <v>450</v>
      </c>
      <c r="J116" s="215">
        <f t="shared" si="25"/>
        <v>450</v>
      </c>
      <c r="K116" s="215">
        <f t="shared" si="25"/>
        <v>450</v>
      </c>
      <c r="L116" s="215">
        <f t="shared" si="25"/>
        <v>450</v>
      </c>
      <c r="M116" s="215">
        <f t="shared" si="25"/>
        <v>450</v>
      </c>
      <c r="N116" s="215">
        <f t="shared" si="25"/>
        <v>450</v>
      </c>
      <c r="O116" s="60"/>
      <c r="P116" s="60"/>
      <c r="Q116" s="60"/>
    </row>
    <row r="117" spans="2:17" ht="33" customHeight="1">
      <c r="B117" s="110" t="s">
        <v>277</v>
      </c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</row>
    <row r="118" spans="2:17" ht="20.25" customHeight="1">
      <c r="B118" s="61" t="s">
        <v>74</v>
      </c>
      <c r="C118" s="60"/>
      <c r="D118" s="60"/>
      <c r="E118" s="61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</row>
    <row r="119" spans="2:17" ht="21">
      <c r="B119" s="123" t="s">
        <v>75</v>
      </c>
      <c r="C119" s="124"/>
      <c r="D119" s="124"/>
      <c r="E119" s="125"/>
      <c r="F119" s="126"/>
      <c r="G119" s="126"/>
      <c r="H119" s="126"/>
      <c r="I119" s="126"/>
      <c r="J119" s="126"/>
      <c r="K119" s="126"/>
      <c r="L119" s="126"/>
      <c r="M119" s="126"/>
      <c r="N119" s="126"/>
      <c r="O119" s="59"/>
      <c r="P119" s="59"/>
      <c r="Q119" s="59"/>
    </row>
    <row r="120" spans="2:17" ht="20.25" customHeight="1">
      <c r="B120" s="113" t="s">
        <v>76</v>
      </c>
      <c r="C120" s="114"/>
      <c r="D120" s="114"/>
      <c r="E120" s="114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60"/>
      <c r="Q120" s="60"/>
    </row>
    <row r="121" spans="2:17" ht="20.25" customHeight="1">
      <c r="B121" s="109" t="s">
        <v>246</v>
      </c>
      <c r="C121" s="107" t="s">
        <v>29</v>
      </c>
      <c r="D121" s="108">
        <f>'Квартальная отчетность'!J246</f>
        <v>0</v>
      </c>
      <c r="E121" s="108">
        <f>'Квартальная отчетность'!K246</f>
        <v>0</v>
      </c>
      <c r="F121" s="108">
        <f>SUMIF('Квартальная отчетность'!$L$13:$AO$13,F$10,'Квартальная отчетность'!$L246:$AO246)</f>
        <v>0</v>
      </c>
      <c r="G121" s="108">
        <f>SUMIF('Квартальная отчетность'!$L$13:$AO$13,G$10,'Квартальная отчетность'!$L246:$AO246)</f>
        <v>0</v>
      </c>
      <c r="H121" s="108">
        <f>SUMIF('Квартальная отчетность'!$L$13:$AO$13,H$10,'Квартальная отчетность'!$L246:$AO246)</f>
        <v>0</v>
      </c>
      <c r="I121" s="108">
        <f>SUMIF('Квартальная отчетность'!$L$13:$AO$13,I$10,'Квартальная отчетность'!$L246:$AO246)</f>
        <v>0</v>
      </c>
      <c r="J121" s="108">
        <f>SUMIF('Квартальная отчетность'!$L$13:$AO$13,J$10,'Квартальная отчетность'!$L246:$AO246)</f>
        <v>0</v>
      </c>
      <c r="K121" s="108">
        <f>SUMIF('Квартальная отчетность'!$L$13:$AO$13,K$10,'Квартальная отчетность'!$L246:$AO246)</f>
        <v>0</v>
      </c>
      <c r="L121" s="108">
        <f>SUMIF('Квартальная отчетность'!$L$13:$AO$13,L$10,'Квартальная отчетность'!$L246:$AO246)</f>
        <v>0</v>
      </c>
      <c r="M121" s="108">
        <f>SUMIF('Квартальная отчетность'!$L$13:$AO$13,M$10,'Квартальная отчетность'!$L246:$AO246)</f>
        <v>0</v>
      </c>
      <c r="N121" s="108">
        <f>SUMIF('Квартальная отчетность'!$L$13:$AO$13,N$10,'Квартальная отчетность'!$L246:$AO246)</f>
        <v>0</v>
      </c>
      <c r="O121" s="60"/>
      <c r="P121" s="60"/>
      <c r="Q121" s="60"/>
    </row>
    <row r="122" spans="2:17" ht="20.25" customHeight="1">
      <c r="B122" s="105" t="s">
        <v>247</v>
      </c>
      <c r="C122" s="107" t="s">
        <v>29</v>
      </c>
      <c r="D122" s="108">
        <f>'Квартальная отчетность'!J247</f>
        <v>0</v>
      </c>
      <c r="E122" s="108">
        <f>'Квартальная отчетность'!K247</f>
        <v>0</v>
      </c>
      <c r="F122" s="108">
        <f>SUMIF('Квартальная отчетность'!$L$13:$AO$13,F$10,'Квартальная отчетность'!$L247:$AO247)</f>
        <v>0</v>
      </c>
      <c r="G122" s="108">
        <f>SUMIF('Квартальная отчетность'!$L$13:$AO$13,G$10,'Квартальная отчетность'!$L247:$AO247)</f>
        <v>0</v>
      </c>
      <c r="H122" s="108">
        <f>SUMIF('Квартальная отчетность'!$L$13:$AO$13,H$10,'Квартальная отчетность'!$L247:$AO247)</f>
        <v>0</v>
      </c>
      <c r="I122" s="108">
        <f>SUMIF('Квартальная отчетность'!$L$13:$AO$13,I$10,'Квартальная отчетность'!$L247:$AO247)</f>
        <v>0</v>
      </c>
      <c r="J122" s="108">
        <f>SUMIF('Квартальная отчетность'!$L$13:$AO$13,J$10,'Квартальная отчетность'!$L247:$AO247)</f>
        <v>0</v>
      </c>
      <c r="K122" s="108">
        <f>SUMIF('Квартальная отчетность'!$L$13:$AO$13,K$10,'Квартальная отчетность'!$L247:$AO247)</f>
        <v>0</v>
      </c>
      <c r="L122" s="108">
        <f>SUMIF('Квартальная отчетность'!$L$13:$AO$13,L$10,'Квартальная отчетность'!$L247:$AO247)</f>
        <v>0</v>
      </c>
      <c r="M122" s="108">
        <f>SUMIF('Квартальная отчетность'!$L$13:$AO$13,M$10,'Квартальная отчетность'!$L247:$AO247)</f>
        <v>0</v>
      </c>
      <c r="N122" s="108">
        <f>SUMIF('Квартальная отчетность'!$L$13:$AO$13,N$10,'Квартальная отчетность'!$L247:$AO247)</f>
        <v>0</v>
      </c>
      <c r="O122" s="60"/>
      <c r="P122" s="60"/>
      <c r="Q122" s="60"/>
    </row>
    <row r="123" spans="2:17" ht="20.25" customHeight="1">
      <c r="B123" s="105" t="s">
        <v>248</v>
      </c>
      <c r="C123" s="107" t="s">
        <v>29</v>
      </c>
      <c r="D123" s="108">
        <f>'Квартальная отчетность'!J248</f>
        <v>0</v>
      </c>
      <c r="E123" s="108">
        <f>'Квартальная отчетность'!K248</f>
        <v>0</v>
      </c>
      <c r="F123" s="108">
        <f>SUMIF('Квартальная отчетность'!$L$13:$AO$13,F$10,'Квартальная отчетность'!$L248:$AO248)</f>
        <v>0</v>
      </c>
      <c r="G123" s="108">
        <f>SUMIF('Квартальная отчетность'!$L$13:$AO$13,G$10,'Квартальная отчетность'!$L248:$AO248)</f>
        <v>0</v>
      </c>
      <c r="H123" s="108">
        <f>SUMIF('Квартальная отчетность'!$L$13:$AO$13,H$10,'Квартальная отчетность'!$L248:$AO248)</f>
        <v>0</v>
      </c>
      <c r="I123" s="108">
        <f>SUMIF('Квартальная отчетность'!$L$13:$AO$13,I$10,'Квартальная отчетность'!$L248:$AO248)</f>
        <v>0</v>
      </c>
      <c r="J123" s="108">
        <f>SUMIF('Квартальная отчетность'!$L$13:$AO$13,J$10,'Квартальная отчетность'!$L248:$AO248)</f>
        <v>0</v>
      </c>
      <c r="K123" s="108">
        <f>SUMIF('Квартальная отчетность'!$L$13:$AO$13,K$10,'Квартальная отчетность'!$L248:$AO248)</f>
        <v>0</v>
      </c>
      <c r="L123" s="108">
        <f>SUMIF('Квартальная отчетность'!$L$13:$AO$13,L$10,'Квартальная отчетность'!$L248:$AO248)</f>
        <v>0</v>
      </c>
      <c r="M123" s="108">
        <f>SUMIF('Квартальная отчетность'!$L$13:$AO$13,M$10,'Квартальная отчетность'!$L248:$AO248)</f>
        <v>0</v>
      </c>
      <c r="N123" s="108">
        <f>SUMIF('Квартальная отчетность'!$L$13:$AO$13,N$10,'Квартальная отчетность'!$L248:$AO248)</f>
        <v>0</v>
      </c>
      <c r="O123" s="60"/>
      <c r="P123" s="60"/>
      <c r="Q123" s="60"/>
    </row>
    <row r="124" spans="2:17" ht="20.25" customHeight="1">
      <c r="B124" s="105" t="s">
        <v>68</v>
      </c>
      <c r="C124" s="107" t="s">
        <v>29</v>
      </c>
      <c r="D124" s="108">
        <f>'Квартальная отчетность'!J249</f>
        <v>4617.8680000000013</v>
      </c>
      <c r="E124" s="108">
        <f>'Квартальная отчетность'!K249</f>
        <v>4617.8680000000013</v>
      </c>
      <c r="F124" s="108">
        <f>SUMIF('Квартальная отчетность'!$L$13:$AO$13,F$10,'Квартальная отчетность'!$L249:$AO249)</f>
        <v>4617.8680000000013</v>
      </c>
      <c r="G124" s="108">
        <f>SUMIF('Квартальная отчетность'!$L$13:$AO$13,G$10,'Квартальная отчетность'!$L249:$AO249)</f>
        <v>0</v>
      </c>
      <c r="H124" s="108">
        <f>SUMIF('Квартальная отчетность'!$L$13:$AO$13,H$10,'Квартальная отчетность'!$L249:$AO249)</f>
        <v>0</v>
      </c>
      <c r="I124" s="108">
        <f>SUMIF('Квартальная отчетность'!$L$13:$AO$13,I$10,'Квартальная отчетность'!$L249:$AO249)</f>
        <v>0</v>
      </c>
      <c r="J124" s="108">
        <f>SUMIF('Квартальная отчетность'!$L$13:$AO$13,J$10,'Квартальная отчетность'!$L249:$AO249)</f>
        <v>0</v>
      </c>
      <c r="K124" s="108">
        <f>SUMIF('Квартальная отчетность'!$L$13:$AO$13,K$10,'Квартальная отчетность'!$L249:$AO249)</f>
        <v>0</v>
      </c>
      <c r="L124" s="108">
        <f>SUMIF('Квартальная отчетность'!$L$13:$AO$13,L$10,'Квартальная отчетность'!$L249:$AO249)</f>
        <v>0</v>
      </c>
      <c r="M124" s="108">
        <f>SUMIF('Квартальная отчетность'!$L$13:$AO$13,M$10,'Квартальная отчетность'!$L249:$AO249)</f>
        <v>0</v>
      </c>
      <c r="N124" s="108">
        <f>SUMIF('Квартальная отчетность'!$L$13:$AO$13,N$10,'Квартальная отчетность'!$L249:$AO249)</f>
        <v>0</v>
      </c>
      <c r="O124" s="60"/>
      <c r="P124" s="60"/>
      <c r="Q124" s="60"/>
    </row>
    <row r="125" spans="2:17" ht="20.25" customHeight="1">
      <c r="B125" s="120" t="s">
        <v>71</v>
      </c>
      <c r="C125" s="121" t="s">
        <v>29</v>
      </c>
      <c r="D125" s="122">
        <f>SUM(D121:D124)</f>
        <v>4617.8680000000013</v>
      </c>
      <c r="E125" s="122">
        <f t="shared" ref="E125:N125" si="26">SUM(E121:E124)</f>
        <v>4617.8680000000013</v>
      </c>
      <c r="F125" s="122">
        <f t="shared" si="26"/>
        <v>4617.8680000000013</v>
      </c>
      <c r="G125" s="122">
        <f t="shared" si="26"/>
        <v>0</v>
      </c>
      <c r="H125" s="122">
        <f t="shared" si="26"/>
        <v>0</v>
      </c>
      <c r="I125" s="122">
        <f t="shared" si="26"/>
        <v>0</v>
      </c>
      <c r="J125" s="122">
        <f t="shared" si="26"/>
        <v>0</v>
      </c>
      <c r="K125" s="122">
        <f t="shared" si="26"/>
        <v>0</v>
      </c>
      <c r="L125" s="122">
        <f t="shared" si="26"/>
        <v>0</v>
      </c>
      <c r="M125" s="122">
        <f t="shared" si="26"/>
        <v>0</v>
      </c>
      <c r="N125" s="122">
        <f t="shared" si="26"/>
        <v>0</v>
      </c>
      <c r="O125" s="60"/>
      <c r="P125" s="60"/>
      <c r="Q125" s="60"/>
    </row>
    <row r="126" spans="2:17" ht="20.25" customHeight="1"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</row>
    <row r="127" spans="2:17" ht="20.25" customHeight="1">
      <c r="B127" s="113" t="s">
        <v>77</v>
      </c>
      <c r="C127" s="114"/>
      <c r="D127" s="114"/>
      <c r="E127" s="114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60"/>
      <c r="Q127" s="60"/>
    </row>
    <row r="128" spans="2:17" ht="20.25" customHeight="1">
      <c r="B128" s="105" t="s">
        <v>278</v>
      </c>
      <c r="C128" s="107" t="s">
        <v>29</v>
      </c>
      <c r="D128" s="108">
        <f>'Квартальная отчетность'!J253</f>
        <v>3783.4699999999993</v>
      </c>
      <c r="E128" s="108">
        <f>'Квартальная отчетность'!K253</f>
        <v>3783.4699999999993</v>
      </c>
      <c r="F128" s="108">
        <f>SUMIF('Квартальная отчетность'!$L$13:$AO$13,F$10,'Квартальная отчетность'!$L253:$AO253)</f>
        <v>4296.2299999999996</v>
      </c>
      <c r="G128" s="108">
        <f>SUMIF('Квартальная отчетность'!$L$13:$AO$13,G$10,'Квартальная отчетность'!$L253:$AO253)</f>
        <v>-120.67</v>
      </c>
      <c r="H128" s="108">
        <f>SUMIF('Квартальная отчетность'!$L$13:$AO$13,H$10,'Квартальная отчетность'!$L253:$AO253)</f>
        <v>-121</v>
      </c>
      <c r="I128" s="108">
        <f>SUMIF('Квартальная отчетность'!$L$13:$AO$13,I$10,'Квартальная отчетность'!$L253:$AO253)</f>
        <v>-120.67</v>
      </c>
      <c r="J128" s="108">
        <f>SUMIF('Квартальная отчетность'!$L$13:$AO$13,J$10,'Квартальная отчетность'!$L253:$AO253)</f>
        <v>-120.67</v>
      </c>
      <c r="K128" s="108">
        <f>SUMIF('Квартальная отчетность'!$L$13:$AO$13,K$10,'Квартальная отчетность'!$L253:$AO253)</f>
        <v>-29.75</v>
      </c>
      <c r="L128" s="108">
        <f>SUMIF('Квартальная отчетность'!$L$13:$AO$13,L$10,'Квартальная отчетность'!$L253:$AO253)</f>
        <v>0</v>
      </c>
      <c r="M128" s="108">
        <f>SUMIF('Квартальная отчетность'!$L$13:$AO$13,M$10,'Квартальная отчетность'!$L253:$AO253)</f>
        <v>0</v>
      </c>
      <c r="N128" s="108">
        <f>SUMIF('Квартальная отчетность'!$L$13:$AO$13,N$10,'Квартальная отчетность'!$L253:$AO253)</f>
        <v>0</v>
      </c>
      <c r="O128" s="60"/>
      <c r="P128" s="60"/>
      <c r="Q128" s="60"/>
    </row>
    <row r="129" spans="2:17" ht="20.25" customHeight="1">
      <c r="B129" s="105" t="s">
        <v>250</v>
      </c>
      <c r="C129" s="107" t="s">
        <v>29</v>
      </c>
      <c r="D129" s="108">
        <f>'Квартальная отчетность'!J254</f>
        <v>-30789.759999999998</v>
      </c>
      <c r="E129" s="108">
        <f>'Квартальная отчетность'!K254</f>
        <v>-20157.71</v>
      </c>
      <c r="F129" s="108">
        <f>SUMIF('Квартальная отчетность'!$L$13:$AO$13,F$10,'Квартальная отчетность'!$L254:$AO254)</f>
        <v>-1827</v>
      </c>
      <c r="G129" s="108">
        <f>SUMIF('Квартальная отчетность'!$L$13:$AO$13,G$10,'Квартальная отчетность'!$L254:$AO254)</f>
        <v>-3839.5299999999997</v>
      </c>
      <c r="H129" s="108">
        <f>SUMIF('Квартальная отчетность'!$L$13:$AO$13,H$10,'Квартальная отчетность'!$L254:$AO254)</f>
        <v>-4125.66</v>
      </c>
      <c r="I129" s="108">
        <f>SUMIF('Квартальная отчетность'!$L$13:$AO$13,I$10,'Квартальная отчетность'!$L254:$AO254)</f>
        <v>-4413.2300000000005</v>
      </c>
      <c r="J129" s="108">
        <f>SUMIF('Квартальная отчетность'!$L$13:$AO$13,J$10,'Квартальная отчетность'!$L254:$AO254)</f>
        <v>-4721.4400000000005</v>
      </c>
      <c r="K129" s="108">
        <f>SUMIF('Квартальная отчетность'!$L$13:$AO$13,K$10,'Квартальная отчетность'!$L254:$AO254)</f>
        <v>-5050.66</v>
      </c>
      <c r="L129" s="108">
        <f>SUMIF('Квартальная отчетность'!$L$13:$AO$13,L$10,'Квартальная отчетность'!$L254:$AO254)</f>
        <v>-5403.62</v>
      </c>
      <c r="M129" s="108">
        <f>SUMIF('Квартальная отчетность'!$L$13:$AO$13,M$10,'Квартальная отчетность'!$L254:$AO254)</f>
        <v>-1408.62</v>
      </c>
      <c r="N129" s="108">
        <f>SUMIF('Квартальная отчетность'!$L$13:$AO$13,N$10,'Квартальная отчетность'!$L254:$AO254)</f>
        <v>0</v>
      </c>
      <c r="O129" s="60"/>
      <c r="P129" s="60"/>
      <c r="Q129" s="60"/>
    </row>
    <row r="130" spans="2:17" ht="20.25" customHeight="1">
      <c r="B130" s="105" t="s">
        <v>251</v>
      </c>
      <c r="C130" s="107" t="s">
        <v>29</v>
      </c>
      <c r="D130" s="108">
        <f>'Квартальная отчетность'!J255</f>
        <v>0</v>
      </c>
      <c r="E130" s="108">
        <f>'Квартальная отчетность'!K255</f>
        <v>0</v>
      </c>
      <c r="F130" s="108">
        <f>SUMIF('Квартальная отчетность'!$L$13:$AO$13,F$10,'Квартальная отчетность'!$L255:$AO255)</f>
        <v>0</v>
      </c>
      <c r="G130" s="108">
        <f>SUMIF('Квартальная отчетность'!$L$13:$AO$13,G$10,'Квартальная отчетность'!$L255:$AO255)</f>
        <v>0</v>
      </c>
      <c r="H130" s="108">
        <f>SUMIF('Квартальная отчетность'!$L$13:$AO$13,H$10,'Квартальная отчетность'!$L255:$AO255)</f>
        <v>0</v>
      </c>
      <c r="I130" s="108">
        <f>SUMIF('Квартальная отчетность'!$L$13:$AO$13,I$10,'Квартальная отчетность'!$L255:$AO255)</f>
        <v>0</v>
      </c>
      <c r="J130" s="108">
        <f>SUMIF('Квартальная отчетность'!$L$13:$AO$13,J$10,'Квартальная отчетность'!$L255:$AO255)</f>
        <v>0</v>
      </c>
      <c r="K130" s="108">
        <f>SUMIF('Квартальная отчетность'!$L$13:$AO$13,K$10,'Квартальная отчетность'!$L255:$AO255)</f>
        <v>0</v>
      </c>
      <c r="L130" s="108">
        <f>SUMIF('Квартальная отчетность'!$L$13:$AO$13,L$10,'Квартальная отчетность'!$L255:$AO255)</f>
        <v>0</v>
      </c>
      <c r="M130" s="108">
        <f>SUMIF('Квартальная отчетность'!$L$13:$AO$13,M$10,'Квартальная отчетность'!$L255:$AO255)</f>
        <v>0</v>
      </c>
      <c r="N130" s="108">
        <f>SUMIF('Квартальная отчетность'!$L$13:$AO$13,N$10,'Квартальная отчетность'!$L255:$AO255)</f>
        <v>0</v>
      </c>
      <c r="O130" s="60"/>
      <c r="P130" s="60"/>
      <c r="Q130" s="60"/>
    </row>
    <row r="131" spans="2:17" ht="20.25" customHeight="1">
      <c r="B131" s="105" t="str">
        <f>B71</f>
        <v>Уплата налога на прибыль (-)</v>
      </c>
      <c r="C131" s="107" t="s">
        <v>29</v>
      </c>
      <c r="D131" s="108">
        <f>'Квартальная отчетность'!J256</f>
        <v>18915.193902049181</v>
      </c>
      <c r="E131" s="108">
        <f>'Квартальная отчетность'!K256</f>
        <v>15040.80906352459</v>
      </c>
      <c r="F131" s="108">
        <f>SUMIF('Квартальная отчетность'!$L$13:$AO$13,F$10,'Квартальная отчетность'!$L256:$AO256)</f>
        <v>934.90223452868872</v>
      </c>
      <c r="G131" s="108">
        <f>SUMIF('Квартальная отчетность'!$L$13:$AO$13,G$10,'Квартальная отчетность'!$L256:$AO256)</f>
        <v>3001.9213127049179</v>
      </c>
      <c r="H131" s="108">
        <f>SUMIF('Квартальная отчетность'!$L$13:$AO$13,H$10,'Квартальная отчетность'!$L256:$AO256)</f>
        <v>3300.1163127049176</v>
      </c>
      <c r="I131" s="108">
        <f>SUMIF('Квартальная отчетность'!$L$13:$AO$13,I$10,'Квартальная отчетность'!$L256:$AO256)</f>
        <v>3400.6613127049186</v>
      </c>
      <c r="J131" s="108">
        <f>SUMIF('Квартальная отчетность'!$L$13:$AO$13,J$10,'Квартальная отчетность'!$L256:$AO256)</f>
        <v>3508.5163127049182</v>
      </c>
      <c r="K131" s="108">
        <f>SUMIF('Квартальная отчетность'!$L$13:$AO$13,K$10,'Квартальная отчетность'!$L256:$AO256)</f>
        <v>2289.0721426229511</v>
      </c>
      <c r="L131" s="108">
        <f>SUMIF('Квартальная отчетность'!$L$13:$AO$13,L$10,'Квартальная отчетность'!$L256:$AO256)</f>
        <v>1967.8474192622953</v>
      </c>
      <c r="M131" s="108">
        <f>SUMIF('Квартальная отчетность'!$L$13:$AO$13,M$10,'Квартальная отчетность'!$L256:$AO256)</f>
        <v>531.39870963114754</v>
      </c>
      <c r="N131" s="108">
        <f>SUMIF('Квартальная отчетность'!$L$13:$AO$13,N$10,'Квартальная отчетность'!$L256:$AO256)</f>
        <v>0</v>
      </c>
      <c r="O131" s="60"/>
      <c r="P131" s="60"/>
      <c r="Q131" s="60"/>
    </row>
    <row r="132" spans="2:17" ht="20.25" customHeight="1">
      <c r="B132" s="105" t="s">
        <v>252</v>
      </c>
      <c r="C132" s="107" t="s">
        <v>29</v>
      </c>
      <c r="D132" s="108">
        <f>'Квартальная отчетность'!J257</f>
        <v>-13670.107739344261</v>
      </c>
      <c r="E132" s="108">
        <f>'Квартальная отчетность'!K257</f>
        <v>-8804.6183852459017</v>
      </c>
      <c r="F132" s="108">
        <f>SUMIF('Квартальная отчетность'!$L$13:$AO$13,F$10,'Квартальная отчетность'!$L257:$AO257)</f>
        <v>-961.1822577868852</v>
      </c>
      <c r="G132" s="108">
        <f>SUMIF('Квартальная отчетность'!$L$13:$AO$13,G$10,'Квартальная отчетность'!$L257:$AO257)</f>
        <v>-1050.6096770491804</v>
      </c>
      <c r="H132" s="108">
        <f>SUMIF('Квартальная отчетность'!$L$13:$AO$13,H$10,'Квартальная отчетность'!$L257:$AO257)</f>
        <v>-1956.9296770491803</v>
      </c>
      <c r="I132" s="108">
        <f>SUMIF('Квартальная отчетность'!$L$13:$AO$13,I$10,'Квартальная отчетность'!$L257:$AO257)</f>
        <v>-2071.8696770491806</v>
      </c>
      <c r="J132" s="108">
        <f>SUMIF('Квартальная отчетность'!$L$13:$AO$13,J$10,'Квартальная отчетность'!$L257:$AO257)</f>
        <v>-2195.0796770491806</v>
      </c>
      <c r="K132" s="108">
        <f>SUMIF('Квартальная отчетность'!$L$13:$AO$13,K$10,'Квартальная отчетность'!$L257:$AO257)</f>
        <v>-2326.6596770491806</v>
      </c>
      <c r="L132" s="108">
        <f>SUMIF('Квартальная отчетность'!$L$13:$AO$13,L$10,'Квартальная отчетность'!$L257:$AO257)</f>
        <v>-2467.7696770491807</v>
      </c>
      <c r="M132" s="108">
        <f>SUMIF('Квартальная отчетность'!$L$13:$AO$13,M$10,'Квартальная отчетность'!$L257:$AO257)</f>
        <v>-716.97483852459027</v>
      </c>
      <c r="N132" s="108">
        <f>SUMIF('Квартальная отчетность'!$L$13:$AO$13,N$10,'Квартальная отчетность'!$L257:$AO257)</f>
        <v>0</v>
      </c>
      <c r="O132" s="60"/>
      <c r="P132" s="60"/>
      <c r="Q132" s="60"/>
    </row>
    <row r="133" spans="2:17" ht="20.25" customHeight="1">
      <c r="B133" s="120" t="s">
        <v>71</v>
      </c>
      <c r="C133" s="121" t="s">
        <v>29</v>
      </c>
      <c r="D133" s="215">
        <f>SUM(D128:D132)</f>
        <v>-21761.203837295081</v>
      </c>
      <c r="E133" s="215">
        <f t="shared" ref="E133:N133" si="27">SUM(E128:E132)</f>
        <v>-10138.049321721312</v>
      </c>
      <c r="F133" s="215">
        <f t="shared" si="27"/>
        <v>2442.9499767418029</v>
      </c>
      <c r="G133" s="215">
        <f t="shared" si="27"/>
        <v>-2008.8883643442623</v>
      </c>
      <c r="H133" s="215">
        <f t="shared" si="27"/>
        <v>-2903.4733643442623</v>
      </c>
      <c r="I133" s="215">
        <f t="shared" si="27"/>
        <v>-3205.1083643442626</v>
      </c>
      <c r="J133" s="215">
        <f t="shared" si="27"/>
        <v>-3528.6733643442631</v>
      </c>
      <c r="K133" s="215">
        <f t="shared" si="27"/>
        <v>-5117.9975344262293</v>
      </c>
      <c r="L133" s="215">
        <f t="shared" si="27"/>
        <v>-5903.5422577868849</v>
      </c>
      <c r="M133" s="215">
        <f t="shared" si="27"/>
        <v>-1594.1961288934426</v>
      </c>
      <c r="N133" s="215">
        <f t="shared" si="27"/>
        <v>0</v>
      </c>
      <c r="O133" s="60"/>
      <c r="P133" s="60"/>
      <c r="Q133" s="60"/>
    </row>
    <row r="134" spans="2:17" ht="20.25" customHeight="1"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</row>
    <row r="135" spans="2:17" ht="20.25" customHeight="1">
      <c r="B135" s="120" t="s">
        <v>78</v>
      </c>
      <c r="C135" s="121" t="s">
        <v>29</v>
      </c>
      <c r="D135" s="215">
        <f>D125+D133</f>
        <v>-17143.335837295079</v>
      </c>
      <c r="E135" s="215">
        <f t="shared" ref="E135:N135" si="28">E125+E133</f>
        <v>-5520.1813217213103</v>
      </c>
      <c r="F135" s="215">
        <f t="shared" si="28"/>
        <v>7060.8179767418042</v>
      </c>
      <c r="G135" s="215">
        <f t="shared" si="28"/>
        <v>-2008.8883643442623</v>
      </c>
      <c r="H135" s="215">
        <f t="shared" si="28"/>
        <v>-2903.4733643442623</v>
      </c>
      <c r="I135" s="215">
        <f t="shared" si="28"/>
        <v>-3205.1083643442626</v>
      </c>
      <c r="J135" s="215">
        <f t="shared" si="28"/>
        <v>-3528.6733643442631</v>
      </c>
      <c r="K135" s="215">
        <f t="shared" si="28"/>
        <v>-5117.9975344262293</v>
      </c>
      <c r="L135" s="215">
        <f t="shared" si="28"/>
        <v>-5903.5422577868849</v>
      </c>
      <c r="M135" s="215">
        <f t="shared" si="28"/>
        <v>-1594.1961288934426</v>
      </c>
      <c r="N135" s="215">
        <f t="shared" si="28"/>
        <v>0</v>
      </c>
      <c r="O135" s="60"/>
      <c r="P135" s="60"/>
      <c r="Q135" s="60"/>
    </row>
    <row r="136" spans="2:17" ht="20.25" customHeight="1"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</row>
    <row r="137" spans="2:17" ht="21">
      <c r="B137" s="123" t="s">
        <v>79</v>
      </c>
      <c r="C137" s="124"/>
      <c r="D137" s="124"/>
      <c r="E137" s="125"/>
      <c r="F137" s="126"/>
      <c r="G137" s="126"/>
      <c r="H137" s="126"/>
      <c r="I137" s="126"/>
      <c r="J137" s="126"/>
      <c r="K137" s="126"/>
      <c r="L137" s="126"/>
      <c r="M137" s="126"/>
      <c r="N137" s="126"/>
      <c r="O137" s="59"/>
      <c r="P137" s="59"/>
      <c r="Q137" s="59"/>
    </row>
    <row r="138" spans="2:17" ht="20.25" customHeight="1">
      <c r="B138" s="113" t="s">
        <v>76</v>
      </c>
      <c r="C138" s="114"/>
      <c r="D138" s="114"/>
      <c r="E138" s="114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60"/>
      <c r="Q138" s="60"/>
    </row>
    <row r="139" spans="2:17" ht="20.25" customHeight="1">
      <c r="B139" s="109" t="s">
        <v>253</v>
      </c>
      <c r="C139" s="107" t="s">
        <v>29</v>
      </c>
      <c r="D139" s="108">
        <f>'Квартальная отчетность'!J264</f>
        <v>0</v>
      </c>
      <c r="E139" s="108">
        <f>'Квартальная отчетность'!K264</f>
        <v>0</v>
      </c>
      <c r="F139" s="108">
        <f>SUMIF('Квартальная отчетность'!$L$13:$AO$13,F$10,'Квартальная отчетность'!$L264:$AO264)</f>
        <v>0</v>
      </c>
      <c r="G139" s="108">
        <f>SUMIF('Квартальная отчетность'!$L$13:$AO$13,G$10,'Квартальная отчетность'!$L264:$AO264)</f>
        <v>0</v>
      </c>
      <c r="H139" s="108">
        <f>SUMIF('Квартальная отчетность'!$L$13:$AO$13,H$10,'Квартальная отчетность'!$L264:$AO264)</f>
        <v>0</v>
      </c>
      <c r="I139" s="108">
        <f>SUMIF('Квартальная отчетность'!$L$13:$AO$13,I$10,'Квартальная отчетность'!$L264:$AO264)</f>
        <v>0</v>
      </c>
      <c r="J139" s="108">
        <f>SUMIF('Квартальная отчетность'!$L$13:$AO$13,J$10,'Квартальная отчетность'!$L264:$AO264)</f>
        <v>0</v>
      </c>
      <c r="K139" s="108">
        <f>SUMIF('Квартальная отчетность'!$L$13:$AO$13,K$10,'Квартальная отчетность'!$L264:$AO264)</f>
        <v>0</v>
      </c>
      <c r="L139" s="108">
        <f>SUMIF('Квартальная отчетность'!$L$13:$AO$13,L$10,'Квартальная отчетность'!$L264:$AO264)</f>
        <v>0</v>
      </c>
      <c r="M139" s="108">
        <f>SUMIF('Квартальная отчетность'!$L$13:$AO$13,M$10,'Квартальная отчетность'!$L264:$AO264)</f>
        <v>0</v>
      </c>
      <c r="N139" s="108">
        <f>SUMIF('Квартальная отчетность'!$L$13:$AO$13,N$10,'Квартальная отчетность'!$L264:$AO264)</f>
        <v>0</v>
      </c>
      <c r="O139" s="60"/>
      <c r="P139" s="60"/>
      <c r="Q139" s="60"/>
    </row>
    <row r="140" spans="2:17" ht="20.25" customHeight="1">
      <c r="B140" s="105" t="s">
        <v>254</v>
      </c>
      <c r="C140" s="107" t="s">
        <v>29</v>
      </c>
      <c r="D140" s="108">
        <f>'Квартальная отчетность'!J265</f>
        <v>0</v>
      </c>
      <c r="E140" s="108">
        <f>'Квартальная отчетность'!K265</f>
        <v>0</v>
      </c>
      <c r="F140" s="108">
        <f>SUMIF('Квартальная отчетность'!$L$13:$AO$13,F$10,'Квартальная отчетность'!$L265:$AO265)</f>
        <v>0</v>
      </c>
      <c r="G140" s="108">
        <f>SUMIF('Квартальная отчетность'!$L$13:$AO$13,G$10,'Квартальная отчетность'!$L265:$AO265)</f>
        <v>0</v>
      </c>
      <c r="H140" s="108">
        <f>SUMIF('Квартальная отчетность'!$L$13:$AO$13,H$10,'Квартальная отчетность'!$L265:$AO265)</f>
        <v>0</v>
      </c>
      <c r="I140" s="108">
        <f>SUMIF('Квартальная отчетность'!$L$13:$AO$13,I$10,'Квартальная отчетность'!$L265:$AO265)</f>
        <v>0</v>
      </c>
      <c r="J140" s="108">
        <f>SUMIF('Квартальная отчетность'!$L$13:$AO$13,J$10,'Квартальная отчетность'!$L265:$AO265)</f>
        <v>0</v>
      </c>
      <c r="K140" s="108">
        <f>SUMIF('Квартальная отчетность'!$L$13:$AO$13,K$10,'Квартальная отчетность'!$L265:$AO265)</f>
        <v>0</v>
      </c>
      <c r="L140" s="108">
        <f>SUMIF('Квартальная отчетность'!$L$13:$AO$13,L$10,'Квартальная отчетность'!$L265:$AO265)</f>
        <v>0</v>
      </c>
      <c r="M140" s="108">
        <f>SUMIF('Квартальная отчетность'!$L$13:$AO$13,M$10,'Квартальная отчетность'!$L265:$AO265)</f>
        <v>0</v>
      </c>
      <c r="N140" s="108">
        <f>SUMIF('Квартальная отчетность'!$L$13:$AO$13,N$10,'Квартальная отчетность'!$L265:$AO265)</f>
        <v>0</v>
      </c>
      <c r="O140" s="60"/>
      <c r="P140" s="60"/>
      <c r="Q140" s="60"/>
    </row>
    <row r="141" spans="2:17" ht="20.25" customHeight="1">
      <c r="B141" s="105" t="s">
        <v>255</v>
      </c>
      <c r="C141" s="107" t="s">
        <v>29</v>
      </c>
      <c r="D141" s="108">
        <f>'Квартальная отчетность'!J266</f>
        <v>0</v>
      </c>
      <c r="E141" s="108">
        <f>'Квартальная отчетность'!K266</f>
        <v>0</v>
      </c>
      <c r="F141" s="108">
        <f>SUMIF('Квартальная отчетность'!$L$13:$AO$13,F$10,'Квартальная отчетность'!$L266:$AO266)</f>
        <v>0</v>
      </c>
      <c r="G141" s="108">
        <f>SUMIF('Квартальная отчетность'!$L$13:$AO$13,G$10,'Квартальная отчетность'!$L266:$AO266)</f>
        <v>0</v>
      </c>
      <c r="H141" s="108">
        <f>SUMIF('Квартальная отчетность'!$L$13:$AO$13,H$10,'Квартальная отчетность'!$L266:$AO266)</f>
        <v>0</v>
      </c>
      <c r="I141" s="108">
        <f>SUMIF('Квартальная отчетность'!$L$13:$AO$13,I$10,'Квартальная отчетность'!$L266:$AO266)</f>
        <v>0</v>
      </c>
      <c r="J141" s="108">
        <f>SUMIF('Квартальная отчетность'!$L$13:$AO$13,J$10,'Квартальная отчетность'!$L266:$AO266)</f>
        <v>0</v>
      </c>
      <c r="K141" s="108">
        <f>SUMIF('Квартальная отчетность'!$L$13:$AO$13,K$10,'Квартальная отчетность'!$L266:$AO266)</f>
        <v>0</v>
      </c>
      <c r="L141" s="108">
        <f>SUMIF('Квартальная отчетность'!$L$13:$AO$13,L$10,'Квартальная отчетность'!$L266:$AO266)</f>
        <v>0</v>
      </c>
      <c r="M141" s="108">
        <f>SUMIF('Квартальная отчетность'!$L$13:$AO$13,M$10,'Квартальная отчетность'!$L266:$AO266)</f>
        <v>0</v>
      </c>
      <c r="N141" s="108">
        <f>SUMIF('Квартальная отчетность'!$L$13:$AO$13,N$10,'Квартальная отчетность'!$L266:$AO266)</f>
        <v>0</v>
      </c>
      <c r="O141" s="60"/>
      <c r="P141" s="60"/>
      <c r="Q141" s="60"/>
    </row>
    <row r="142" spans="2:17" ht="20.25" customHeight="1">
      <c r="B142" s="105" t="s">
        <v>256</v>
      </c>
      <c r="C142" s="107" t="s">
        <v>29</v>
      </c>
      <c r="D142" s="108">
        <f>'Квартальная отчетность'!J267</f>
        <v>0</v>
      </c>
      <c r="E142" s="108">
        <f>'Квартальная отчетность'!K267</f>
        <v>0</v>
      </c>
      <c r="F142" s="108">
        <f>SUMIF('Квартальная отчетность'!$L$13:$AO$13,F$10,'Квартальная отчетность'!$L267:$AO267)</f>
        <v>0</v>
      </c>
      <c r="G142" s="108">
        <f>SUMIF('Квартальная отчетность'!$L$13:$AO$13,G$10,'Квартальная отчетность'!$L267:$AO267)</f>
        <v>0</v>
      </c>
      <c r="H142" s="108">
        <f>SUMIF('Квартальная отчетность'!$L$13:$AO$13,H$10,'Квартальная отчетность'!$L267:$AO267)</f>
        <v>0</v>
      </c>
      <c r="I142" s="108">
        <f>SUMIF('Квартальная отчетность'!$L$13:$AO$13,I$10,'Квартальная отчетность'!$L267:$AO267)</f>
        <v>0</v>
      </c>
      <c r="J142" s="108">
        <f>SUMIF('Квартальная отчетность'!$L$13:$AO$13,J$10,'Квартальная отчетность'!$L267:$AO267)</f>
        <v>0</v>
      </c>
      <c r="K142" s="108">
        <f>SUMIF('Квартальная отчетность'!$L$13:$AO$13,K$10,'Квартальная отчетность'!$L267:$AO267)</f>
        <v>0</v>
      </c>
      <c r="L142" s="108">
        <f>SUMIF('Квартальная отчетность'!$L$13:$AO$13,L$10,'Квартальная отчетность'!$L267:$AO267)</f>
        <v>0</v>
      </c>
      <c r="M142" s="108">
        <f>SUMIF('Квартальная отчетность'!$L$13:$AO$13,M$10,'Квартальная отчетность'!$L267:$AO267)</f>
        <v>0</v>
      </c>
      <c r="N142" s="108">
        <f>SUMIF('Квартальная отчетность'!$L$13:$AO$13,N$10,'Квартальная отчетность'!$L267:$AO267)</f>
        <v>0</v>
      </c>
      <c r="O142" s="60"/>
      <c r="P142" s="60"/>
      <c r="Q142" s="60"/>
    </row>
    <row r="143" spans="2:17" ht="20.25" customHeight="1">
      <c r="B143" s="105" t="s">
        <v>68</v>
      </c>
      <c r="C143" s="107" t="s">
        <v>29</v>
      </c>
      <c r="D143" s="108">
        <f>'Квартальная отчетность'!J268</f>
        <v>0</v>
      </c>
      <c r="E143" s="108">
        <f>'Квартальная отчетность'!K268</f>
        <v>0</v>
      </c>
      <c r="F143" s="108">
        <f>SUMIF('Квартальная отчетность'!$L$13:$AO$13,F$10,'Квартальная отчетность'!$L268:$AO268)</f>
        <v>0</v>
      </c>
      <c r="G143" s="108">
        <f>SUMIF('Квартальная отчетность'!$L$13:$AO$13,G$10,'Квартальная отчетность'!$L268:$AO268)</f>
        <v>0</v>
      </c>
      <c r="H143" s="108">
        <f>SUMIF('Квартальная отчетность'!$L$13:$AO$13,H$10,'Квартальная отчетность'!$L268:$AO268)</f>
        <v>0</v>
      </c>
      <c r="I143" s="108">
        <f>SUMIF('Квартальная отчетность'!$L$13:$AO$13,I$10,'Квартальная отчетность'!$L268:$AO268)</f>
        <v>0</v>
      </c>
      <c r="J143" s="108">
        <f>SUMIF('Квартальная отчетность'!$L$13:$AO$13,J$10,'Квартальная отчетность'!$L268:$AO268)</f>
        <v>0</v>
      </c>
      <c r="K143" s="108">
        <f>SUMIF('Квартальная отчетность'!$L$13:$AO$13,K$10,'Квартальная отчетность'!$L268:$AO268)</f>
        <v>0</v>
      </c>
      <c r="L143" s="108">
        <f>SUMIF('Квартальная отчетность'!$L$13:$AO$13,L$10,'Квартальная отчетность'!$L268:$AO268)</f>
        <v>0</v>
      </c>
      <c r="M143" s="108">
        <f>SUMIF('Квартальная отчетность'!$L$13:$AO$13,M$10,'Квартальная отчетность'!$L268:$AO268)</f>
        <v>0</v>
      </c>
      <c r="N143" s="108">
        <f>SUMIF('Квартальная отчетность'!$L$13:$AO$13,N$10,'Квартальная отчетность'!$L268:$AO268)</f>
        <v>0</v>
      </c>
      <c r="O143" s="60"/>
      <c r="P143" s="60"/>
      <c r="Q143" s="60"/>
    </row>
    <row r="144" spans="2:17" ht="20.25" customHeight="1">
      <c r="B144" s="120" t="s">
        <v>71</v>
      </c>
      <c r="C144" s="121" t="s">
        <v>29</v>
      </c>
      <c r="D144" s="122">
        <f>SUM(D139:D143)</f>
        <v>0</v>
      </c>
      <c r="E144" s="122">
        <f t="shared" ref="E144:N144" si="29">SUM(E139:E143)</f>
        <v>0</v>
      </c>
      <c r="F144" s="122">
        <f t="shared" si="29"/>
        <v>0</v>
      </c>
      <c r="G144" s="122">
        <f t="shared" si="29"/>
        <v>0</v>
      </c>
      <c r="H144" s="122">
        <f t="shared" si="29"/>
        <v>0</v>
      </c>
      <c r="I144" s="122">
        <f t="shared" si="29"/>
        <v>0</v>
      </c>
      <c r="J144" s="122">
        <f t="shared" si="29"/>
        <v>0</v>
      </c>
      <c r="K144" s="122">
        <f t="shared" si="29"/>
        <v>0</v>
      </c>
      <c r="L144" s="122">
        <f t="shared" si="29"/>
        <v>0</v>
      </c>
      <c r="M144" s="122">
        <f t="shared" si="29"/>
        <v>0</v>
      </c>
      <c r="N144" s="122">
        <f t="shared" si="29"/>
        <v>0</v>
      </c>
      <c r="O144" s="60"/>
      <c r="P144" s="60"/>
      <c r="Q144" s="60"/>
    </row>
    <row r="145" spans="2:17" ht="20.25" customHeight="1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</row>
    <row r="146" spans="2:17" ht="20.25" customHeight="1">
      <c r="B146" s="113" t="s">
        <v>77</v>
      </c>
      <c r="C146" s="114"/>
      <c r="D146" s="114"/>
      <c r="E146" s="114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60"/>
      <c r="Q146" s="60"/>
    </row>
    <row r="147" spans="2:17" ht="20.25" customHeight="1">
      <c r="B147" s="105" t="s">
        <v>242</v>
      </c>
      <c r="C147" s="107" t="s">
        <v>29</v>
      </c>
      <c r="D147" s="108">
        <f>'Квартальная отчетность'!J272</f>
        <v>-30000</v>
      </c>
      <c r="E147" s="108">
        <f>'Квартальная отчетность'!K272</f>
        <v>-30000</v>
      </c>
      <c r="F147" s="108">
        <f>SUMIF('Квартальная отчетность'!$L$13:$AO$13,F$10,'Квартальная отчетность'!$L272:$AO272)</f>
        <v>-30000</v>
      </c>
      <c r="G147" s="108">
        <f>SUMIF('Квартальная отчетность'!$L$13:$AO$13,G$10,'Квартальная отчетность'!$L272:$AO272)</f>
        <v>0</v>
      </c>
      <c r="H147" s="108">
        <f>SUMIF('Квартальная отчетность'!$L$13:$AO$13,H$10,'Квартальная отчетность'!$L272:$AO272)</f>
        <v>0</v>
      </c>
      <c r="I147" s="108">
        <f>SUMIF('Квартальная отчетность'!$L$13:$AO$13,I$10,'Квартальная отчетность'!$L272:$AO272)</f>
        <v>0</v>
      </c>
      <c r="J147" s="108">
        <f>SUMIF('Квартальная отчетность'!$L$13:$AO$13,J$10,'Квартальная отчетность'!$L272:$AO272)</f>
        <v>0</v>
      </c>
      <c r="K147" s="108">
        <f>SUMIF('Квартальная отчетность'!$L$13:$AO$13,K$10,'Квартальная отчетность'!$L272:$AO272)</f>
        <v>0</v>
      </c>
      <c r="L147" s="108">
        <f>SUMIF('Квартальная отчетность'!$L$13:$AO$13,L$10,'Квартальная отчетность'!$L272:$AO272)</f>
        <v>0</v>
      </c>
      <c r="M147" s="108">
        <f>SUMIF('Квартальная отчетность'!$L$13:$AO$13,M$10,'Квартальная отчетность'!$L272:$AO272)</f>
        <v>0</v>
      </c>
      <c r="N147" s="108">
        <f>SUMIF('Квартальная отчетность'!$L$13:$AO$13,N$10,'Квартальная отчетность'!$L272:$AO272)</f>
        <v>0</v>
      </c>
      <c r="O147" s="60"/>
      <c r="P147" s="60"/>
      <c r="Q147" s="60"/>
    </row>
    <row r="148" spans="2:17" ht="20.25" customHeight="1">
      <c r="B148" s="105" t="s">
        <v>258</v>
      </c>
      <c r="C148" s="107" t="s">
        <v>29</v>
      </c>
      <c r="D148" s="108">
        <f>'Квартальная отчетность'!J273</f>
        <v>0</v>
      </c>
      <c r="E148" s="108">
        <f>'Квартальная отчетность'!K273</f>
        <v>0</v>
      </c>
      <c r="F148" s="108">
        <f>SUMIF('Квартальная отчетность'!$L$13:$AO$13,F$10,'Квартальная отчетность'!$L273:$AO273)</f>
        <v>0</v>
      </c>
      <c r="G148" s="108">
        <f>SUMIF('Квартальная отчетность'!$L$13:$AO$13,G$10,'Квартальная отчетность'!$L273:$AO273)</f>
        <v>0</v>
      </c>
      <c r="H148" s="108">
        <f>SUMIF('Квартальная отчетность'!$L$13:$AO$13,H$10,'Квартальная отчетность'!$L273:$AO273)</f>
        <v>0</v>
      </c>
      <c r="I148" s="108">
        <f>SUMIF('Квартальная отчетность'!$L$13:$AO$13,I$10,'Квартальная отчетность'!$L273:$AO273)</f>
        <v>0</v>
      </c>
      <c r="J148" s="108">
        <f>SUMIF('Квартальная отчетность'!$L$13:$AO$13,J$10,'Квартальная отчетность'!$L273:$AO273)</f>
        <v>0</v>
      </c>
      <c r="K148" s="108">
        <f>SUMIF('Квартальная отчетность'!$L$13:$AO$13,K$10,'Квартальная отчетность'!$L273:$AO273)</f>
        <v>0</v>
      </c>
      <c r="L148" s="108">
        <f>SUMIF('Квартальная отчетность'!$L$13:$AO$13,L$10,'Квартальная отчетность'!$L273:$AO273)</f>
        <v>0</v>
      </c>
      <c r="M148" s="108">
        <f>SUMIF('Квартальная отчетность'!$L$13:$AO$13,M$10,'Квартальная отчетность'!$L273:$AO273)</f>
        <v>0</v>
      </c>
      <c r="N148" s="108">
        <f>SUMIF('Квартальная отчетность'!$L$13:$AO$13,N$10,'Квартальная отчетность'!$L273:$AO273)</f>
        <v>0</v>
      </c>
      <c r="O148" s="60"/>
      <c r="P148" s="60"/>
      <c r="Q148" s="60"/>
    </row>
    <row r="149" spans="2:17" ht="20.25" customHeight="1">
      <c r="B149" s="105" t="s">
        <v>259</v>
      </c>
      <c r="C149" s="107" t="s">
        <v>29</v>
      </c>
      <c r="D149" s="108">
        <f>'Квартальная отчетность'!J274</f>
        <v>0</v>
      </c>
      <c r="E149" s="108">
        <f>'Квартальная отчетность'!K274</f>
        <v>0</v>
      </c>
      <c r="F149" s="108">
        <f>SUMIF('Квартальная отчетность'!$L$13:$AO$13,F$10,'Квартальная отчетность'!$L274:$AO274)</f>
        <v>0</v>
      </c>
      <c r="G149" s="108">
        <f>SUMIF('Квартальная отчетность'!$L$13:$AO$13,G$10,'Квартальная отчетность'!$L274:$AO274)</f>
        <v>0</v>
      </c>
      <c r="H149" s="108">
        <f>SUMIF('Квартальная отчетность'!$L$13:$AO$13,H$10,'Квартальная отчетность'!$L274:$AO274)</f>
        <v>0</v>
      </c>
      <c r="I149" s="108">
        <f>SUMIF('Квартальная отчетность'!$L$13:$AO$13,I$10,'Квартальная отчетность'!$L274:$AO274)</f>
        <v>0</v>
      </c>
      <c r="J149" s="108">
        <f>SUMIF('Квартальная отчетность'!$L$13:$AO$13,J$10,'Квартальная отчетность'!$L274:$AO274)</f>
        <v>0</v>
      </c>
      <c r="K149" s="108">
        <f>SUMIF('Квартальная отчетность'!$L$13:$AO$13,K$10,'Квартальная отчетность'!$L274:$AO274)</f>
        <v>0</v>
      </c>
      <c r="L149" s="108">
        <f>SUMIF('Квартальная отчетность'!$L$13:$AO$13,L$10,'Квартальная отчетность'!$L274:$AO274)</f>
        <v>0</v>
      </c>
      <c r="M149" s="108">
        <f>SUMIF('Квартальная отчетность'!$L$13:$AO$13,M$10,'Квартальная отчетность'!$L274:$AO274)</f>
        <v>0</v>
      </c>
      <c r="N149" s="108">
        <f>SUMIF('Квартальная отчетность'!$L$13:$AO$13,N$10,'Квартальная отчетность'!$L274:$AO274)</f>
        <v>0</v>
      </c>
      <c r="O149" s="60"/>
      <c r="P149" s="60"/>
      <c r="Q149" s="60"/>
    </row>
    <row r="150" spans="2:17" ht="20.25" customHeight="1">
      <c r="B150" s="105" t="s">
        <v>252</v>
      </c>
      <c r="C150" s="107" t="s">
        <v>29</v>
      </c>
      <c r="D150" s="108">
        <f>'Квартальная отчетность'!J275</f>
        <v>0</v>
      </c>
      <c r="E150" s="108">
        <f>'Квартальная отчетность'!K275</f>
        <v>0</v>
      </c>
      <c r="F150" s="108">
        <f>SUMIF('Квартальная отчетность'!$L$13:$AO$13,F$10,'Квартальная отчетность'!$L275:$AO275)</f>
        <v>0</v>
      </c>
      <c r="G150" s="108">
        <f>SUMIF('Квартальная отчетность'!$L$13:$AO$13,G$10,'Квартальная отчетность'!$L275:$AO275)</f>
        <v>0</v>
      </c>
      <c r="H150" s="108">
        <f>SUMIF('Квартальная отчетность'!$L$13:$AO$13,H$10,'Квартальная отчетность'!$L275:$AO275)</f>
        <v>0</v>
      </c>
      <c r="I150" s="108">
        <f>SUMIF('Квартальная отчетность'!$L$13:$AO$13,I$10,'Квартальная отчетность'!$L275:$AO275)</f>
        <v>0</v>
      </c>
      <c r="J150" s="108">
        <f>SUMIF('Квартальная отчетность'!$L$13:$AO$13,J$10,'Квартальная отчетность'!$L275:$AO275)</f>
        <v>0</v>
      </c>
      <c r="K150" s="108">
        <f>SUMIF('Квартальная отчетность'!$L$13:$AO$13,K$10,'Квартальная отчетность'!$L275:$AO275)</f>
        <v>0</v>
      </c>
      <c r="L150" s="108">
        <f>SUMIF('Квартальная отчетность'!$L$13:$AO$13,L$10,'Квартальная отчетность'!$L275:$AO275)</f>
        <v>0</v>
      </c>
      <c r="M150" s="108">
        <f>SUMIF('Квартальная отчетность'!$L$13:$AO$13,M$10,'Квартальная отчетность'!$L275:$AO275)</f>
        <v>0</v>
      </c>
      <c r="N150" s="108">
        <f>SUMIF('Квартальная отчетность'!$L$13:$AO$13,N$10,'Квартальная отчетность'!$L275:$AO275)</f>
        <v>0</v>
      </c>
      <c r="O150" s="60"/>
      <c r="P150" s="60"/>
      <c r="Q150" s="60"/>
    </row>
    <row r="151" spans="2:17" ht="20.25" customHeight="1">
      <c r="B151" s="120" t="s">
        <v>71</v>
      </c>
      <c r="C151" s="121" t="s">
        <v>29</v>
      </c>
      <c r="D151" s="215">
        <f>SUM(D147:D150)</f>
        <v>-30000</v>
      </c>
      <c r="E151" s="215">
        <f t="shared" ref="E151:N151" si="30">SUM(E147:E150)</f>
        <v>-30000</v>
      </c>
      <c r="F151" s="215">
        <f t="shared" si="30"/>
        <v>-30000</v>
      </c>
      <c r="G151" s="215">
        <f t="shared" si="30"/>
        <v>0</v>
      </c>
      <c r="H151" s="215">
        <f t="shared" si="30"/>
        <v>0</v>
      </c>
      <c r="I151" s="215">
        <f t="shared" si="30"/>
        <v>0</v>
      </c>
      <c r="J151" s="215">
        <f t="shared" si="30"/>
        <v>0</v>
      </c>
      <c r="K151" s="215">
        <f t="shared" si="30"/>
        <v>0</v>
      </c>
      <c r="L151" s="215">
        <f t="shared" si="30"/>
        <v>0</v>
      </c>
      <c r="M151" s="215">
        <f t="shared" si="30"/>
        <v>0</v>
      </c>
      <c r="N151" s="215">
        <f t="shared" si="30"/>
        <v>0</v>
      </c>
      <c r="O151" s="60"/>
      <c r="P151" s="60"/>
      <c r="Q151" s="60"/>
    </row>
    <row r="152" spans="2:17" ht="20.25" customHeight="1"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</row>
    <row r="153" spans="2:17" ht="20.25" customHeight="1">
      <c r="B153" s="120" t="s">
        <v>80</v>
      </c>
      <c r="C153" s="121" t="s">
        <v>29</v>
      </c>
      <c r="D153" s="215">
        <f>D144+D151</f>
        <v>-30000</v>
      </c>
      <c r="E153" s="215">
        <f t="shared" ref="E153:N153" si="31">E144+E151</f>
        <v>-30000</v>
      </c>
      <c r="F153" s="215">
        <f t="shared" si="31"/>
        <v>-30000</v>
      </c>
      <c r="G153" s="215">
        <f t="shared" si="31"/>
        <v>0</v>
      </c>
      <c r="H153" s="215">
        <f t="shared" si="31"/>
        <v>0</v>
      </c>
      <c r="I153" s="215">
        <f t="shared" si="31"/>
        <v>0</v>
      </c>
      <c r="J153" s="215">
        <f t="shared" si="31"/>
        <v>0</v>
      </c>
      <c r="K153" s="215">
        <f t="shared" si="31"/>
        <v>0</v>
      </c>
      <c r="L153" s="215">
        <f t="shared" si="31"/>
        <v>0</v>
      </c>
      <c r="M153" s="215">
        <f t="shared" si="31"/>
        <v>0</v>
      </c>
      <c r="N153" s="215">
        <f t="shared" si="31"/>
        <v>0</v>
      </c>
      <c r="O153" s="60"/>
      <c r="P153" s="60"/>
      <c r="Q153" s="60"/>
    </row>
    <row r="154" spans="2:17" ht="20.25" customHeight="1"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</row>
    <row r="155" spans="2:17" ht="21">
      <c r="B155" s="123" t="s">
        <v>81</v>
      </c>
      <c r="C155" s="124"/>
      <c r="D155" s="124"/>
      <c r="E155" s="125"/>
      <c r="F155" s="126"/>
      <c r="G155" s="126"/>
      <c r="H155" s="126"/>
      <c r="I155" s="126"/>
      <c r="J155" s="126"/>
      <c r="K155" s="126"/>
      <c r="L155" s="126"/>
      <c r="M155" s="126"/>
      <c r="N155" s="126"/>
      <c r="O155" s="59"/>
      <c r="P155" s="59"/>
      <c r="Q155" s="59"/>
    </row>
    <row r="156" spans="2:17" ht="20.25" customHeight="1">
      <c r="B156" s="113" t="s">
        <v>76</v>
      </c>
      <c r="C156" s="114"/>
      <c r="D156" s="114"/>
      <c r="E156" s="114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60"/>
      <c r="Q156" s="60"/>
    </row>
    <row r="157" spans="2:17" ht="20.25" customHeight="1">
      <c r="B157" s="105" t="s">
        <v>243</v>
      </c>
      <c r="C157" s="107" t="s">
        <v>29</v>
      </c>
      <c r="D157" s="108">
        <f>'Квартальная отчетность'!J282</f>
        <v>5000</v>
      </c>
      <c r="E157" s="108">
        <f>'Квартальная отчетность'!K282</f>
        <v>5000</v>
      </c>
      <c r="F157" s="108">
        <f>SUMIF('Квартальная отчетность'!$L$13:$AO$13,F$10,'Квартальная отчетность'!$L282:$AO282)</f>
        <v>5000</v>
      </c>
      <c r="G157" s="108">
        <f>SUMIF('Квартальная отчетность'!$L$13:$AO$13,G$10,'Квартальная отчетность'!$L282:$AO282)</f>
        <v>0</v>
      </c>
      <c r="H157" s="108">
        <f>SUMIF('Квартальная отчетность'!$L$13:$AO$13,H$10,'Квартальная отчетность'!$L282:$AO282)</f>
        <v>0</v>
      </c>
      <c r="I157" s="108">
        <f>SUMIF('Квартальная отчетность'!$L$13:$AO$13,I$10,'Квартальная отчетность'!$L282:$AO282)</f>
        <v>0</v>
      </c>
      <c r="J157" s="108">
        <f>SUMIF('Квартальная отчетность'!$L$13:$AO$13,J$10,'Квартальная отчетность'!$L282:$AO282)</f>
        <v>0</v>
      </c>
      <c r="K157" s="108">
        <f>SUMIF('Квартальная отчетность'!$L$13:$AO$13,K$10,'Квартальная отчетность'!$L282:$AO282)</f>
        <v>0</v>
      </c>
      <c r="L157" s="108">
        <f>SUMIF('Квартальная отчетность'!$L$13:$AO$13,L$10,'Квартальная отчетность'!$L282:$AO282)</f>
        <v>0</v>
      </c>
      <c r="M157" s="108">
        <f>SUMIF('Квартальная отчетность'!$L$13:$AO$13,M$10,'Квартальная отчетность'!$L282:$AO282)</f>
        <v>0</v>
      </c>
      <c r="N157" s="108">
        <f>SUMIF('Квартальная отчетность'!$L$13:$AO$13,N$10,'Квартальная отчетность'!$L282:$AO282)</f>
        <v>0</v>
      </c>
      <c r="O157" s="60"/>
      <c r="P157" s="60"/>
      <c r="Q157" s="60"/>
    </row>
    <row r="158" spans="2:17" ht="20.25" customHeight="1">
      <c r="B158" s="105" t="s">
        <v>270</v>
      </c>
      <c r="C158" s="107" t="s">
        <v>29</v>
      </c>
      <c r="D158" s="108">
        <f>'Квартальная отчетность'!J283</f>
        <v>0</v>
      </c>
      <c r="E158" s="108">
        <f>'Квартальная отчетность'!K283</f>
        <v>0</v>
      </c>
      <c r="F158" s="108">
        <f>SUMIF('Квартальная отчетность'!$L$13:$AO$13,F$10,'Квартальная отчетность'!$L283:$AO283)</f>
        <v>0</v>
      </c>
      <c r="G158" s="108">
        <f>SUMIF('Квартальная отчетность'!$L$13:$AO$13,G$10,'Квартальная отчетность'!$L283:$AO283)</f>
        <v>0</v>
      </c>
      <c r="H158" s="108">
        <f>SUMIF('Квартальная отчетность'!$L$13:$AO$13,H$10,'Квартальная отчетность'!$L283:$AO283)</f>
        <v>0</v>
      </c>
      <c r="I158" s="108">
        <f>SUMIF('Квартальная отчетность'!$L$13:$AO$13,I$10,'Квартальная отчетность'!$L283:$AO283)</f>
        <v>0</v>
      </c>
      <c r="J158" s="108">
        <f>SUMIF('Квартальная отчетность'!$L$13:$AO$13,J$10,'Квартальная отчетность'!$L283:$AO283)</f>
        <v>0</v>
      </c>
      <c r="K158" s="108">
        <f>SUMIF('Квартальная отчетность'!$L$13:$AO$13,K$10,'Квартальная отчетность'!$L283:$AO283)</f>
        <v>0</v>
      </c>
      <c r="L158" s="108">
        <f>SUMIF('Квартальная отчетность'!$L$13:$AO$13,L$10,'Квартальная отчетность'!$L283:$AO283)</f>
        <v>0</v>
      </c>
      <c r="M158" s="108">
        <f>SUMIF('Квартальная отчетность'!$L$13:$AO$13,M$10,'Квартальная отчетность'!$L283:$AO283)</f>
        <v>0</v>
      </c>
      <c r="N158" s="108">
        <f>SUMIF('Квартальная отчетность'!$L$13:$AO$13,N$10,'Квартальная отчетность'!$L283:$AO283)</f>
        <v>0</v>
      </c>
      <c r="O158" s="60"/>
      <c r="P158" s="60"/>
      <c r="Q158" s="60"/>
    </row>
    <row r="159" spans="2:17" ht="20.25" customHeight="1">
      <c r="B159" s="105" t="s">
        <v>271</v>
      </c>
      <c r="C159" s="107" t="s">
        <v>29</v>
      </c>
      <c r="D159" s="108">
        <f>'Квартальная отчетность'!J284</f>
        <v>0</v>
      </c>
      <c r="E159" s="108">
        <f>'Квартальная отчетность'!K284</f>
        <v>0</v>
      </c>
      <c r="F159" s="108">
        <f>SUMIF('Квартальная отчетность'!$L$13:$AO$13,F$10,'Квартальная отчетность'!$L284:$AO284)</f>
        <v>0</v>
      </c>
      <c r="G159" s="108">
        <f>SUMIF('Квартальная отчетность'!$L$13:$AO$13,G$10,'Квартальная отчетность'!$L284:$AO284)</f>
        <v>0</v>
      </c>
      <c r="H159" s="108">
        <f>SUMIF('Квартальная отчетность'!$L$13:$AO$13,H$10,'Квартальная отчетность'!$L284:$AO284)</f>
        <v>0</v>
      </c>
      <c r="I159" s="108">
        <f>SUMIF('Квартальная отчетность'!$L$13:$AO$13,I$10,'Квартальная отчетность'!$L284:$AO284)</f>
        <v>0</v>
      </c>
      <c r="J159" s="108">
        <f>SUMIF('Квартальная отчетность'!$L$13:$AO$13,J$10,'Квартальная отчетность'!$L284:$AO284)</f>
        <v>0</v>
      </c>
      <c r="K159" s="108">
        <f>SUMIF('Квартальная отчетность'!$L$13:$AO$13,K$10,'Квартальная отчетность'!$L284:$AO284)</f>
        <v>0</v>
      </c>
      <c r="L159" s="108">
        <f>SUMIF('Квартальная отчетность'!$L$13:$AO$13,L$10,'Квартальная отчетность'!$L284:$AO284)</f>
        <v>0</v>
      </c>
      <c r="M159" s="108">
        <f>SUMIF('Квартальная отчетность'!$L$13:$AO$13,M$10,'Квартальная отчетность'!$L284:$AO284)</f>
        <v>0</v>
      </c>
      <c r="N159" s="108">
        <f>SUMIF('Квартальная отчетность'!$L$13:$AO$13,N$10,'Квартальная отчетность'!$L284:$AO284)</f>
        <v>0</v>
      </c>
      <c r="O159" s="60"/>
    </row>
    <row r="160" spans="2:17" ht="20.25" customHeight="1">
      <c r="B160" s="105" t="s">
        <v>272</v>
      </c>
      <c r="C160" s="107" t="s">
        <v>29</v>
      </c>
      <c r="D160" s="108">
        <f>'Квартальная отчетность'!J285</f>
        <v>0</v>
      </c>
      <c r="E160" s="108">
        <f>'Квартальная отчетность'!K285</f>
        <v>0</v>
      </c>
      <c r="F160" s="108">
        <f>SUMIF('Квартальная отчетность'!$L$13:$AO$13,F$10,'Квартальная отчетность'!$L285:$AO285)</f>
        <v>0</v>
      </c>
      <c r="G160" s="108">
        <f>SUMIF('Квартальная отчетность'!$L$13:$AO$13,G$10,'Квартальная отчетность'!$L285:$AO285)</f>
        <v>0</v>
      </c>
      <c r="H160" s="108">
        <f>SUMIF('Квартальная отчетность'!$L$13:$AO$13,H$10,'Квартальная отчетность'!$L285:$AO285)</f>
        <v>0</v>
      </c>
      <c r="I160" s="108">
        <f>SUMIF('Квартальная отчетность'!$L$13:$AO$13,I$10,'Квартальная отчетность'!$L285:$AO285)</f>
        <v>0</v>
      </c>
      <c r="J160" s="108">
        <f>SUMIF('Квартальная отчетность'!$L$13:$AO$13,J$10,'Квартальная отчетность'!$L285:$AO285)</f>
        <v>0</v>
      </c>
      <c r="K160" s="108">
        <f>SUMIF('Квартальная отчетность'!$L$13:$AO$13,K$10,'Квартальная отчетность'!$L285:$AO285)</f>
        <v>0</v>
      </c>
      <c r="L160" s="108">
        <f>SUMIF('Квартальная отчетность'!$L$13:$AO$13,L$10,'Квартальная отчетность'!$L285:$AO285)</f>
        <v>0</v>
      </c>
      <c r="M160" s="108">
        <f>SUMIF('Квартальная отчетность'!$L$13:$AO$13,M$10,'Квартальная отчетность'!$L285:$AO285)</f>
        <v>0</v>
      </c>
      <c r="N160" s="108">
        <f>SUMIF('Квартальная отчетность'!$L$13:$AO$13,N$10,'Квартальная отчетность'!$L285:$AO285)</f>
        <v>0</v>
      </c>
      <c r="O160" s="60"/>
    </row>
    <row r="161" spans="2:17" ht="20.25" customHeight="1">
      <c r="B161" s="105" t="s">
        <v>68</v>
      </c>
      <c r="C161" s="107" t="s">
        <v>29</v>
      </c>
      <c r="D161" s="108">
        <f>'Квартальная отчетность'!J286</f>
        <v>0</v>
      </c>
      <c r="E161" s="108">
        <f>'Квартальная отчетность'!K286</f>
        <v>0</v>
      </c>
      <c r="F161" s="108">
        <f>SUMIF('Квартальная отчетность'!$L$13:$AO$13,F$10,'Квартальная отчетность'!$L286:$AO286)</f>
        <v>0</v>
      </c>
      <c r="G161" s="108">
        <f>SUMIF('Квартальная отчетность'!$L$13:$AO$13,G$10,'Квартальная отчетность'!$L286:$AO286)</f>
        <v>0</v>
      </c>
      <c r="H161" s="108">
        <f>SUMIF('Квартальная отчетность'!$L$13:$AO$13,H$10,'Квартальная отчетность'!$L286:$AO286)</f>
        <v>0</v>
      </c>
      <c r="I161" s="108">
        <f>SUMIF('Квартальная отчетность'!$L$13:$AO$13,I$10,'Квартальная отчетность'!$L286:$AO286)</f>
        <v>0</v>
      </c>
      <c r="J161" s="108">
        <f>SUMIF('Квартальная отчетность'!$L$13:$AO$13,J$10,'Квартальная отчетность'!$L286:$AO286)</f>
        <v>0</v>
      </c>
      <c r="K161" s="108">
        <f>SUMIF('Квартальная отчетность'!$L$13:$AO$13,K$10,'Квартальная отчетность'!$L286:$AO286)</f>
        <v>0</v>
      </c>
      <c r="L161" s="108">
        <f>SUMIF('Квартальная отчетность'!$L$13:$AO$13,L$10,'Квартальная отчетность'!$L286:$AO286)</f>
        <v>0</v>
      </c>
      <c r="M161" s="108">
        <f>SUMIF('Квартальная отчетность'!$L$13:$AO$13,M$10,'Квартальная отчетность'!$L286:$AO286)</f>
        <v>0</v>
      </c>
      <c r="N161" s="108">
        <f>SUMIF('Квартальная отчетность'!$L$13:$AO$13,N$10,'Квартальная отчетность'!$L286:$AO286)</f>
        <v>0</v>
      </c>
      <c r="O161" s="60"/>
    </row>
    <row r="162" spans="2:17" ht="20.25" customHeight="1">
      <c r="B162" s="120" t="s">
        <v>71</v>
      </c>
      <c r="C162" s="121" t="s">
        <v>29</v>
      </c>
      <c r="D162" s="122">
        <f>SUM(D157:D161)</f>
        <v>5000</v>
      </c>
      <c r="E162" s="122">
        <f t="shared" ref="E162:N162" si="32">SUM(E157:E161)</f>
        <v>5000</v>
      </c>
      <c r="F162" s="122">
        <f t="shared" si="32"/>
        <v>5000</v>
      </c>
      <c r="G162" s="122">
        <f t="shared" si="32"/>
        <v>0</v>
      </c>
      <c r="H162" s="122">
        <f t="shared" si="32"/>
        <v>0</v>
      </c>
      <c r="I162" s="122">
        <f t="shared" si="32"/>
        <v>0</v>
      </c>
      <c r="J162" s="122">
        <f t="shared" si="32"/>
        <v>0</v>
      </c>
      <c r="K162" s="122">
        <f t="shared" si="32"/>
        <v>0</v>
      </c>
      <c r="L162" s="122">
        <f t="shared" si="32"/>
        <v>0</v>
      </c>
      <c r="M162" s="122">
        <f t="shared" si="32"/>
        <v>0</v>
      </c>
      <c r="N162" s="122">
        <f t="shared" si="32"/>
        <v>0</v>
      </c>
      <c r="O162" s="60"/>
      <c r="P162" s="60"/>
      <c r="Q162" s="60"/>
    </row>
    <row r="163" spans="2:17" ht="20.25" customHeight="1"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</row>
    <row r="164" spans="2:17" ht="20.25" customHeight="1">
      <c r="B164" s="113" t="s">
        <v>77</v>
      </c>
      <c r="C164" s="114"/>
      <c r="D164" s="114"/>
      <c r="E164" s="114"/>
      <c r="F164" s="59"/>
      <c r="G164" s="59"/>
      <c r="H164" s="59"/>
      <c r="I164" s="59"/>
      <c r="J164" s="59"/>
      <c r="K164" s="59"/>
      <c r="L164" s="59"/>
      <c r="M164" s="59"/>
      <c r="N164" s="59"/>
      <c r="O164" s="59"/>
    </row>
    <row r="165" spans="2:17" ht="20.25" customHeight="1">
      <c r="B165" s="105" t="s">
        <v>273</v>
      </c>
      <c r="C165" s="107" t="s">
        <v>29</v>
      </c>
      <c r="D165" s="108">
        <f>'Квартальная отчетность'!J290</f>
        <v>0</v>
      </c>
      <c r="E165" s="108">
        <f>'Квартальная отчетность'!K290</f>
        <v>0</v>
      </c>
      <c r="F165" s="108">
        <f>SUMIF('Квартальная отчетность'!$L$13:$AO$13,F$10,'Квартальная отчетность'!$L290:$AO290)</f>
        <v>0</v>
      </c>
      <c r="G165" s="108">
        <f>SUMIF('Квартальная отчетность'!$L$13:$AO$13,G$10,'Квартальная отчетность'!$L290:$AO290)</f>
        <v>0</v>
      </c>
      <c r="H165" s="108">
        <f>SUMIF('Квартальная отчетность'!$L$13:$AO$13,H$10,'Квартальная отчетность'!$L290:$AO290)</f>
        <v>0</v>
      </c>
      <c r="I165" s="108">
        <f>SUMIF('Квартальная отчетность'!$L$13:$AO$13,I$10,'Квартальная отчетность'!$L290:$AO290)</f>
        <v>0</v>
      </c>
      <c r="J165" s="108">
        <f>SUMIF('Квартальная отчетность'!$L$13:$AO$13,J$10,'Квартальная отчетность'!$L290:$AO290)</f>
        <v>0</v>
      </c>
      <c r="K165" s="108">
        <f>SUMIF('Квартальная отчетность'!$L$13:$AO$13,K$10,'Квартальная отчетность'!$L290:$AO290)</f>
        <v>0</v>
      </c>
      <c r="L165" s="108">
        <f>SUMIF('Квартальная отчетность'!$L$13:$AO$13,L$10,'Квартальная отчетность'!$L290:$AO290)</f>
        <v>0</v>
      </c>
      <c r="M165" s="108">
        <f>SUMIF('Квартальная отчетность'!$L$13:$AO$13,M$10,'Квартальная отчетность'!$L290:$AO290)</f>
        <v>0</v>
      </c>
      <c r="N165" s="108">
        <f>SUMIF('Квартальная отчетность'!$L$13:$AO$13,N$10,'Квартальная отчетность'!$L290:$AO290)</f>
        <v>0</v>
      </c>
      <c r="O165" s="60"/>
    </row>
    <row r="166" spans="2:17" ht="20.25" customHeight="1">
      <c r="B166" s="105" t="s">
        <v>274</v>
      </c>
      <c r="C166" s="107" t="s">
        <v>29</v>
      </c>
      <c r="D166" s="108">
        <f>'Квартальная отчетность'!J291</f>
        <v>0</v>
      </c>
      <c r="E166" s="108">
        <f>'Квартальная отчетность'!K291</f>
        <v>0</v>
      </c>
      <c r="F166" s="108">
        <f>SUMIF('Квартальная отчетность'!$L$13:$AO$13,F$10,'Квартальная отчетность'!$L291:$AO291)</f>
        <v>0</v>
      </c>
      <c r="G166" s="108">
        <f>SUMIF('Квартальная отчетность'!$L$13:$AO$13,G$10,'Квартальная отчетность'!$L291:$AO291)</f>
        <v>0</v>
      </c>
      <c r="H166" s="108">
        <f>SUMIF('Квартальная отчетность'!$L$13:$AO$13,H$10,'Квартальная отчетность'!$L291:$AO291)</f>
        <v>0</v>
      </c>
      <c r="I166" s="108">
        <f>SUMIF('Квартальная отчетность'!$L$13:$AO$13,I$10,'Квартальная отчетность'!$L291:$AO291)</f>
        <v>0</v>
      </c>
      <c r="J166" s="108">
        <f>SUMIF('Квартальная отчетность'!$L$13:$AO$13,J$10,'Квартальная отчетность'!$L291:$AO291)</f>
        <v>0</v>
      </c>
      <c r="K166" s="108">
        <f>SUMIF('Квартальная отчетность'!$L$13:$AO$13,K$10,'Квартальная отчетность'!$L291:$AO291)</f>
        <v>0</v>
      </c>
      <c r="L166" s="108">
        <f>SUMIF('Квартальная отчетность'!$L$13:$AO$13,L$10,'Квартальная отчетность'!$L291:$AO291)</f>
        <v>0</v>
      </c>
      <c r="M166" s="108">
        <f>SUMIF('Квартальная отчетность'!$L$13:$AO$13,M$10,'Квартальная отчетность'!$L291:$AO291)</f>
        <v>0</v>
      </c>
      <c r="N166" s="108">
        <f>SUMIF('Квартальная отчетность'!$L$13:$AO$13,N$10,'Квартальная отчетность'!$L291:$AO291)</f>
        <v>0</v>
      </c>
      <c r="O166" s="60"/>
    </row>
    <row r="167" spans="2:17" ht="20.25" customHeight="1">
      <c r="B167" s="105" t="s">
        <v>226</v>
      </c>
      <c r="C167" s="107" t="s">
        <v>29</v>
      </c>
      <c r="D167" s="108">
        <f>'Квартальная отчетность'!J292</f>
        <v>-5000</v>
      </c>
      <c r="E167" s="108">
        <f>'Квартальная отчетность'!K292</f>
        <v>-5000</v>
      </c>
      <c r="F167" s="108">
        <f>SUMIF('Квартальная отчетность'!$L$13:$AO$13,F$10,'Квартальная отчетность'!$L292:$AO292)</f>
        <v>0</v>
      </c>
      <c r="G167" s="108">
        <f>SUMIF('Квартальная отчетность'!$L$13:$AO$13,G$10,'Квартальная отчетность'!$L292:$AO292)</f>
        <v>0</v>
      </c>
      <c r="H167" s="108">
        <f>SUMIF('Квартальная отчетность'!$L$13:$AO$13,H$10,'Квартальная отчетность'!$L292:$AO292)</f>
        <v>0</v>
      </c>
      <c r="I167" s="108">
        <f>SUMIF('Квартальная отчетность'!$L$13:$AO$13,I$10,'Квартальная отчетность'!$L292:$AO292)</f>
        <v>-1875</v>
      </c>
      <c r="J167" s="108">
        <f>SUMIF('Квартальная отчетность'!$L$13:$AO$13,J$10,'Квартальная отчетность'!$L292:$AO292)</f>
        <v>-2500</v>
      </c>
      <c r="K167" s="108">
        <f>SUMIF('Квартальная отчетность'!$L$13:$AO$13,K$10,'Квартальная отчетность'!$L292:$AO292)</f>
        <v>-625</v>
      </c>
      <c r="L167" s="108">
        <f>SUMIF('Квартальная отчетность'!$L$13:$AO$13,L$10,'Квартальная отчетность'!$L292:$AO292)</f>
        <v>0</v>
      </c>
      <c r="M167" s="108">
        <f>SUMIF('Квартальная отчетность'!$L$13:$AO$13,M$10,'Квартальная отчетность'!$L292:$AO292)</f>
        <v>0</v>
      </c>
      <c r="N167" s="108">
        <f>SUMIF('Квартальная отчетность'!$L$13:$AO$13,N$10,'Квартальная отчетность'!$L292:$AO292)</f>
        <v>0</v>
      </c>
      <c r="O167" s="60"/>
    </row>
    <row r="168" spans="2:17" ht="20.25" customHeight="1">
      <c r="B168" s="105" t="s">
        <v>227</v>
      </c>
      <c r="C168" s="107" t="s">
        <v>29</v>
      </c>
      <c r="D168" s="108">
        <f>'Квартальная отчетность'!J293</f>
        <v>-986.9863013698631</v>
      </c>
      <c r="E168" s="108">
        <f>'Квартальная отчетность'!K293</f>
        <v>-986.9863013698631</v>
      </c>
      <c r="F168" s="108">
        <f>SUMIF('Квартальная отчетность'!$L$13:$AO$13,F$10,'Квартальная отчетность'!$L293:$AO293)</f>
        <v>-208.21917808219177</v>
      </c>
      <c r="G168" s="108">
        <f>SUMIF('Квартальная отчетность'!$L$13:$AO$13,G$10,'Квартальная отчетность'!$L293:$AO293)</f>
        <v>-250</v>
      </c>
      <c r="H168" s="108">
        <f>SUMIF('Квартальная отчетность'!$L$13:$AO$13,H$10,'Квартальная отчетность'!$L293:$AO293)</f>
        <v>-250.6849315068493</v>
      </c>
      <c r="I168" s="108">
        <f>SUMIF('Квартальная отчетность'!$L$13:$AO$13,I$10,'Квартальная отчетность'!$L293:$AO293)</f>
        <v>-198.97260273972603</v>
      </c>
      <c r="J168" s="108">
        <f>SUMIF('Квартальная отчетность'!$L$13:$AO$13,J$10,'Квартальная отчетность'!$L293:$AO293)</f>
        <v>-73.972602739726028</v>
      </c>
      <c r="K168" s="108">
        <f>SUMIF('Квартальная отчетность'!$L$13:$AO$13,K$10,'Квартальная отчетность'!$L293:$AO293)</f>
        <v>-5.1369863013698627</v>
      </c>
      <c r="L168" s="108">
        <f>SUMIF('Квартальная отчетность'!$L$13:$AO$13,L$10,'Квартальная отчетность'!$L293:$AO293)</f>
        <v>0</v>
      </c>
      <c r="M168" s="108">
        <f>SUMIF('Квартальная отчетность'!$L$13:$AO$13,M$10,'Квартальная отчетность'!$L293:$AO293)</f>
        <v>0</v>
      </c>
      <c r="N168" s="108">
        <f>SUMIF('Квартальная отчетность'!$L$13:$AO$13,N$10,'Квартальная отчетность'!$L293:$AO293)</f>
        <v>0</v>
      </c>
      <c r="O168" s="60"/>
    </row>
    <row r="169" spans="2:17" ht="20.25" customHeight="1">
      <c r="B169" s="120" t="s">
        <v>71</v>
      </c>
      <c r="C169" s="121" t="s">
        <v>29</v>
      </c>
      <c r="D169" s="215">
        <f>SUM(D165:D168)</f>
        <v>-5986.9863013698632</v>
      </c>
      <c r="E169" s="215">
        <f t="shared" ref="E169:N169" si="33">SUM(E165:E168)</f>
        <v>-5986.9863013698632</v>
      </c>
      <c r="F169" s="215">
        <f t="shared" si="33"/>
        <v>-208.21917808219177</v>
      </c>
      <c r="G169" s="215">
        <f t="shared" si="33"/>
        <v>-250</v>
      </c>
      <c r="H169" s="215">
        <f t="shared" si="33"/>
        <v>-250.6849315068493</v>
      </c>
      <c r="I169" s="215">
        <f t="shared" si="33"/>
        <v>-2073.972602739726</v>
      </c>
      <c r="J169" s="215">
        <f t="shared" si="33"/>
        <v>-2573.972602739726</v>
      </c>
      <c r="K169" s="215">
        <f t="shared" si="33"/>
        <v>-630.13698630136992</v>
      </c>
      <c r="L169" s="215">
        <f t="shared" si="33"/>
        <v>0</v>
      </c>
      <c r="M169" s="215">
        <f t="shared" si="33"/>
        <v>0</v>
      </c>
      <c r="N169" s="215">
        <f t="shared" si="33"/>
        <v>0</v>
      </c>
      <c r="O169" s="60"/>
      <c r="P169" s="60"/>
      <c r="Q169" s="60"/>
    </row>
    <row r="170" spans="2:17" ht="20.25" customHeight="1"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</row>
    <row r="171" spans="2:17" ht="20.25" customHeight="1">
      <c r="B171" s="120" t="s">
        <v>83</v>
      </c>
      <c r="C171" s="121" t="s">
        <v>29</v>
      </c>
      <c r="D171" s="215">
        <f>D162+D169</f>
        <v>-986.98630136986321</v>
      </c>
      <c r="E171" s="215">
        <f t="shared" ref="E171:N171" si="34">E162+E169</f>
        <v>-986.98630136986321</v>
      </c>
      <c r="F171" s="215">
        <f t="shared" si="34"/>
        <v>4791.7808219178078</v>
      </c>
      <c r="G171" s="215">
        <f t="shared" si="34"/>
        <v>-250</v>
      </c>
      <c r="H171" s="215">
        <f t="shared" si="34"/>
        <v>-250.6849315068493</v>
      </c>
      <c r="I171" s="215">
        <f t="shared" si="34"/>
        <v>-2073.972602739726</v>
      </c>
      <c r="J171" s="215">
        <f t="shared" si="34"/>
        <v>-2573.972602739726</v>
      </c>
      <c r="K171" s="215">
        <f t="shared" si="34"/>
        <v>-630.13698630136992</v>
      </c>
      <c r="L171" s="215">
        <f t="shared" si="34"/>
        <v>0</v>
      </c>
      <c r="M171" s="215">
        <f t="shared" si="34"/>
        <v>0</v>
      </c>
      <c r="N171" s="215">
        <f t="shared" si="34"/>
        <v>0</v>
      </c>
      <c r="O171" s="60"/>
      <c r="P171" s="60"/>
      <c r="Q171" s="60"/>
    </row>
    <row r="172" spans="2:17" ht="20.25" customHeight="1"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</row>
    <row r="173" spans="2:17" ht="20.25" customHeight="1">
      <c r="B173" s="112" t="s">
        <v>84</v>
      </c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</row>
    <row r="174" spans="2:17" ht="20.25" customHeight="1">
      <c r="B174" s="105" t="s">
        <v>85</v>
      </c>
      <c r="C174" s="107" t="s">
        <v>29</v>
      </c>
      <c r="D174" s="231">
        <f>'Квартальная отчетность'!J299</f>
        <v>450</v>
      </c>
      <c r="E174" s="231">
        <f>'Квартальная отчетность'!K299</f>
        <v>450</v>
      </c>
      <c r="F174" s="231">
        <f>'Квартальная отчетность'!L299</f>
        <v>450</v>
      </c>
      <c r="G174" s="231">
        <f>F176</f>
        <v>-17697.401201340388</v>
      </c>
      <c r="H174" s="231">
        <f t="shared" ref="H174:N174" si="35">G176</f>
        <v>-19956.289565684652</v>
      </c>
      <c r="I174" s="231">
        <f t="shared" si="35"/>
        <v>-23110.447861535766</v>
      </c>
      <c r="J174" s="231">
        <f t="shared" si="35"/>
        <v>-28389.528828619754</v>
      </c>
      <c r="K174" s="231">
        <f t="shared" si="35"/>
        <v>-34492.174795703744</v>
      </c>
      <c r="L174" s="231">
        <f>K176</f>
        <v>-40240.309316431347</v>
      </c>
      <c r="M174" s="231">
        <f t="shared" si="35"/>
        <v>-46143.851574218235</v>
      </c>
      <c r="N174" s="231">
        <f t="shared" si="35"/>
        <v>-47738.047703111675</v>
      </c>
      <c r="O174" s="60"/>
    </row>
    <row r="175" spans="2:17" ht="20.25" customHeight="1">
      <c r="B175" s="105" t="s">
        <v>86</v>
      </c>
      <c r="C175" s="107" t="s">
        <v>29</v>
      </c>
      <c r="D175" s="231">
        <f>'Квартальная отчетность'!J300</f>
        <v>-48130.322138664938</v>
      </c>
      <c r="E175" s="231">
        <f>'Квартальная отчетность'!K300</f>
        <v>-36507.167623091176</v>
      </c>
      <c r="F175" s="231">
        <f>F171+F153+F135</f>
        <v>-18147.401201340388</v>
      </c>
      <c r="G175" s="231">
        <f t="shared" ref="G175:N175" si="36">G171+G153+G135</f>
        <v>-2258.8883643442623</v>
      </c>
      <c r="H175" s="231">
        <f t="shared" si="36"/>
        <v>-3154.1582958511117</v>
      </c>
      <c r="I175" s="231">
        <f t="shared" si="36"/>
        <v>-5279.0809670839881</v>
      </c>
      <c r="J175" s="231">
        <f t="shared" si="36"/>
        <v>-6102.6459670839886</v>
      </c>
      <c r="K175" s="231">
        <f t="shared" si="36"/>
        <v>-5748.134520727599</v>
      </c>
      <c r="L175" s="231">
        <f t="shared" si="36"/>
        <v>-5903.5422577868849</v>
      </c>
      <c r="M175" s="231">
        <f t="shared" si="36"/>
        <v>-1594.1961288934426</v>
      </c>
      <c r="N175" s="231">
        <f t="shared" si="36"/>
        <v>0</v>
      </c>
      <c r="O175" s="60"/>
    </row>
    <row r="176" spans="2:17" ht="20.25" customHeight="1">
      <c r="B176" s="120" t="s">
        <v>87</v>
      </c>
      <c r="C176" s="121" t="s">
        <v>29</v>
      </c>
      <c r="D176" s="238">
        <f>SUM(D174:D175)</f>
        <v>-47680.322138664938</v>
      </c>
      <c r="E176" s="238">
        <f>SUM(E174:E175)</f>
        <v>-36057.167623091176</v>
      </c>
      <c r="F176" s="238">
        <f>F174+F175</f>
        <v>-17697.401201340388</v>
      </c>
      <c r="G176" s="238">
        <f t="shared" ref="G176:N176" si="37">G174+G175</f>
        <v>-19956.289565684652</v>
      </c>
      <c r="H176" s="238">
        <f t="shared" si="37"/>
        <v>-23110.447861535766</v>
      </c>
      <c r="I176" s="238">
        <f t="shared" si="37"/>
        <v>-28389.528828619754</v>
      </c>
      <c r="J176" s="238">
        <f t="shared" si="37"/>
        <v>-34492.174795703744</v>
      </c>
      <c r="K176" s="238">
        <f t="shared" si="37"/>
        <v>-40240.309316431347</v>
      </c>
      <c r="L176" s="238">
        <f t="shared" si="37"/>
        <v>-46143.851574218235</v>
      </c>
      <c r="M176" s="238">
        <f t="shared" si="37"/>
        <v>-47738.047703111675</v>
      </c>
      <c r="N176" s="238">
        <f t="shared" si="37"/>
        <v>-47738.047703111675</v>
      </c>
      <c r="O176" s="60"/>
      <c r="P176" s="60"/>
      <c r="Q176" s="60"/>
    </row>
    <row r="177" spans="2:17" ht="20.25" customHeight="1">
      <c r="B177" s="60"/>
      <c r="C177" s="60"/>
      <c r="D177" s="60"/>
      <c r="E177" s="60"/>
      <c r="F177" s="60"/>
      <c r="G177" s="239"/>
      <c r="H177" s="239"/>
      <c r="I177" s="239"/>
      <c r="J177" s="239"/>
      <c r="K177" s="239"/>
      <c r="L177" s="239"/>
      <c r="M177" s="239"/>
      <c r="N177" s="239"/>
      <c r="O177" s="60"/>
      <c r="P177" s="60"/>
      <c r="Q177" s="60"/>
    </row>
  </sheetData>
  <sheetProtection algorithmName="SHA-512" hashValue="ihoM/IZYoCkGX6UQ0NcWP5VqQMhxcPcXJKbnV/Xoixf7V49RwpqstrV1ne716ePmsZkYHVoaTOaTg0uYpovj+A==" saltValue="JzGi3FFpg5uw+nPLa8/3iA==" spinCount="100000" sheet="1" objects="1" scenarios="1"/>
  <hyperlinks>
    <hyperlink ref="F6:I6" r:id="rId1" tooltip="Написать в Техподдержку" display="Техподдержка финансовой модели Фонда: fm@frprf.ru" xr:uid="{00000000-0004-0000-0700-000000000000}"/>
  </hyperlinks>
  <pageMargins left="0.31496062992125984" right="0.31496062992125984" top="0.55118110236220474" bottom="0.35433070866141736" header="0.31496062992125984" footer="0.31496062992125984"/>
  <pageSetup scale="60" orientation="landscape" r:id="rId2"/>
  <rowBreaks count="3" manualBreakCount="3">
    <brk id="11" max="13" man="1"/>
    <brk id="95" max="13" man="1"/>
    <brk id="154" max="13" man="1"/>
  </rowBreaks>
  <colBreaks count="1" manualBreakCount="1">
    <brk id="14" max="1048575" man="1"/>
  </col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79998168889431442"/>
  </sheetPr>
  <dimension ref="B1:AG111"/>
  <sheetViews>
    <sheetView topLeftCell="A7" workbookViewId="0">
      <selection activeCell="P16" sqref="P16"/>
    </sheetView>
  </sheetViews>
  <sheetFormatPr defaultColWidth="9.140625" defaultRowHeight="15" outlineLevelRow="1"/>
  <cols>
    <col min="1" max="1" width="5.28515625" style="1" customWidth="1"/>
    <col min="2" max="2" width="48.85546875" style="1" customWidth="1"/>
    <col min="3" max="3" width="17.5703125" style="1" customWidth="1"/>
    <col min="4" max="14" width="14.7109375" style="1" customWidth="1"/>
    <col min="15" max="16384" width="9.140625" style="1"/>
  </cols>
  <sheetData>
    <row r="1" spans="2:33" ht="15" customHeight="1">
      <c r="B1" s="60"/>
      <c r="C1" s="371" t="s">
        <v>72</v>
      </c>
      <c r="D1" s="372">
        <f>'Параметры займа'!F11</f>
        <v>0</v>
      </c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</row>
    <row r="2" spans="2:33" ht="57" customHeight="1">
      <c r="B2" s="60"/>
      <c r="C2" s="371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spans="2:33" ht="75">
      <c r="B3" s="110" t="s">
        <v>230</v>
      </c>
      <c r="C3" s="260" t="str">
        <f>'Параметры займа'!B16</f>
        <v>Дата получения займа</v>
      </c>
      <c r="D3" s="259">
        <f>Дата_получения_Займа</f>
        <v>46097</v>
      </c>
      <c r="E3" s="260" t="s">
        <v>440</v>
      </c>
      <c r="F3" s="262">
        <f>YEAR(Дата_погашения_Займа)</f>
        <v>2031</v>
      </c>
      <c r="G3" s="260" t="s">
        <v>441</v>
      </c>
      <c r="H3" s="262">
        <f>HLOOKUP(Предпосылки!H18,'Квартальная отчетность'!L10:AO13,4)</f>
        <v>2033</v>
      </c>
      <c r="I3" s="260" t="s">
        <v>442</v>
      </c>
      <c r="J3" s="142" t="str">
        <f>'Параметры займа'!F18</f>
        <v>Обеспечение займа ввиде банковской гарантии (ВЭБ, МСП)</v>
      </c>
      <c r="K3" s="260" t="s">
        <v>443</v>
      </c>
      <c r="L3" s="261">
        <f>'Параметры займа'!F20</f>
        <v>0.05</v>
      </c>
      <c r="M3" s="260" t="str">
        <f>Предпосылки!B17</f>
        <v>Комиссия годовая по БГ</v>
      </c>
      <c r="N3" s="261">
        <f>Предпосылки!C17</f>
        <v>0.02</v>
      </c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</row>
    <row r="4" spans="2:33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</row>
    <row r="5" spans="2:33" ht="21">
      <c r="B5" s="241" t="s">
        <v>281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</row>
    <row r="6" spans="2:33" ht="15.75">
      <c r="B6" s="62" t="s">
        <v>434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</row>
    <row r="7" spans="2:33">
      <c r="B7" s="369" t="s">
        <v>91</v>
      </c>
      <c r="C7" s="369" t="s">
        <v>63</v>
      </c>
      <c r="D7" s="369" t="s">
        <v>71</v>
      </c>
      <c r="E7" s="370" t="s">
        <v>92</v>
      </c>
      <c r="F7" s="369">
        <f>YEAR(D3)</f>
        <v>2026</v>
      </c>
      <c r="G7" s="369">
        <f>F7+1</f>
        <v>2027</v>
      </c>
      <c r="H7" s="369">
        <f t="shared" ref="H7:N7" si="0">G7+1</f>
        <v>2028</v>
      </c>
      <c r="I7" s="369">
        <f t="shared" si="0"/>
        <v>2029</v>
      </c>
      <c r="J7" s="369">
        <f t="shared" si="0"/>
        <v>2030</v>
      </c>
      <c r="K7" s="369">
        <f t="shared" si="0"/>
        <v>2031</v>
      </c>
      <c r="L7" s="369">
        <f t="shared" si="0"/>
        <v>2032</v>
      </c>
      <c r="M7" s="369">
        <f t="shared" si="0"/>
        <v>2033</v>
      </c>
      <c r="N7" s="369">
        <f t="shared" si="0"/>
        <v>2034</v>
      </c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</row>
    <row r="8" spans="2:33">
      <c r="B8" s="369"/>
      <c r="C8" s="369"/>
      <c r="D8" s="369"/>
      <c r="E8" s="370"/>
      <c r="F8" s="369"/>
      <c r="G8" s="369"/>
      <c r="H8" s="369"/>
      <c r="I8" s="369"/>
      <c r="J8" s="369"/>
      <c r="K8" s="369"/>
      <c r="L8" s="369"/>
      <c r="M8" s="369"/>
      <c r="N8" s="369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</row>
    <row r="9" spans="2:33" outlineLevel="1">
      <c r="B9" s="263" t="s">
        <v>232</v>
      </c>
      <c r="C9" s="264"/>
      <c r="D9" s="264"/>
      <c r="E9" s="265"/>
      <c r="F9" s="266">
        <f>IF(F7&lt;=$F$3,1,0)</f>
        <v>1</v>
      </c>
      <c r="G9" s="266">
        <f t="shared" ref="G9:N9" si="1">IF(G7&lt;=$F$3,1,0)</f>
        <v>1</v>
      </c>
      <c r="H9" s="266">
        <f t="shared" si="1"/>
        <v>1</v>
      </c>
      <c r="I9" s="266">
        <f t="shared" si="1"/>
        <v>1</v>
      </c>
      <c r="J9" s="266">
        <f t="shared" si="1"/>
        <v>1</v>
      </c>
      <c r="K9" s="266">
        <f t="shared" si="1"/>
        <v>1</v>
      </c>
      <c r="L9" s="266">
        <f t="shared" si="1"/>
        <v>0</v>
      </c>
      <c r="M9" s="266">
        <f t="shared" si="1"/>
        <v>0</v>
      </c>
      <c r="N9" s="266">
        <f t="shared" si="1"/>
        <v>0</v>
      </c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</row>
    <row r="10" spans="2:33" outlineLevel="1">
      <c r="B10" s="263" t="s">
        <v>405</v>
      </c>
      <c r="C10" s="264"/>
      <c r="D10" s="264"/>
      <c r="E10" s="265"/>
      <c r="F10" s="266">
        <f>IF(F7&lt;=$H$3,1,0)</f>
        <v>1</v>
      </c>
      <c r="G10" s="266">
        <f t="shared" ref="G10:N10" si="2">IF(G7&lt;=$H$3,1,0)</f>
        <v>1</v>
      </c>
      <c r="H10" s="266">
        <f t="shared" si="2"/>
        <v>1</v>
      </c>
      <c r="I10" s="266">
        <f t="shared" si="2"/>
        <v>1</v>
      </c>
      <c r="J10" s="266">
        <f t="shared" si="2"/>
        <v>1</v>
      </c>
      <c r="K10" s="266">
        <f t="shared" si="2"/>
        <v>1</v>
      </c>
      <c r="L10" s="266">
        <f t="shared" si="2"/>
        <v>1</v>
      </c>
      <c r="M10" s="266">
        <f t="shared" si="2"/>
        <v>1</v>
      </c>
      <c r="N10" s="266">
        <f t="shared" si="2"/>
        <v>0</v>
      </c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</row>
    <row r="11" spans="2:33">
      <c r="B11" s="242" t="str">
        <f>Предпосылки!B106</f>
        <v>Продукт 1</v>
      </c>
      <c r="C11" s="242" t="str">
        <f>Предпосылки!C106</f>
        <v>комплет</v>
      </c>
      <c r="D11" s="243">
        <f>Предпосылки!AJ161</f>
        <v>169</v>
      </c>
      <c r="E11" s="243">
        <f>Предпосылки!AI161</f>
        <v>101</v>
      </c>
      <c r="F11" s="243">
        <f>SUMIF(Предпосылки!$D$160:$AG$160,выводы!F$7,Предпосылки!$D161:$AG161)</f>
        <v>4</v>
      </c>
      <c r="G11" s="243">
        <f>SUMIF(Предпосылки!$D$160:$AG$160,выводы!G$7,Предпосылки!$D161:$AG161)</f>
        <v>11</v>
      </c>
      <c r="H11" s="243">
        <f>SUMIF(Предпосылки!$D$160:$AG$160,выводы!H$7,Предпосылки!$D161:$AG161)</f>
        <v>20</v>
      </c>
      <c r="I11" s="243">
        <f>SUMIF(Предпосылки!$D$160:$AG$160,выводы!I$7,Предпосылки!$D161:$AG161)</f>
        <v>27</v>
      </c>
      <c r="J11" s="243">
        <f>SUMIF(Предпосылки!$D$160:$AG$160,выводы!J$7,Предпосылки!$D161:$AG161)</f>
        <v>33</v>
      </c>
      <c r="K11" s="243">
        <f>SUMIF(Предпосылки!$D$160:$AG$160,выводы!K$7,Предпосылки!$D161:$AG161)</f>
        <v>34</v>
      </c>
      <c r="L11" s="243">
        <f>SUMIF(Предпосылки!$D$160:$AG$160,выводы!L$7,Предпосылки!$D161:$AG161)</f>
        <v>34</v>
      </c>
      <c r="M11" s="243">
        <f>SUMIF(Предпосылки!$D$160:$AG$160,выводы!M$7,Предпосылки!$D161:$AG161)</f>
        <v>6</v>
      </c>
      <c r="N11" s="243">
        <f>SUMIF(Предпосылки!$D$160:$AG$160,выводы!N$7,Предпосылки!$D161:$AG161)</f>
        <v>0</v>
      </c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</row>
    <row r="12" spans="2:33" outlineLevel="1">
      <c r="B12" s="242" t="str">
        <f>Предпосылки!B107</f>
        <v>Продукт 2</v>
      </c>
      <c r="C12" s="242">
        <f>Предпосылки!C107</f>
        <v>0</v>
      </c>
      <c r="D12" s="243">
        <f>Предпосылки!AJ162</f>
        <v>0</v>
      </c>
      <c r="E12" s="243">
        <f>Предпосылки!AI162</f>
        <v>0</v>
      </c>
      <c r="F12" s="243">
        <f>SUMIF(Предпосылки!$D$160:$AG$160,выводы!F$7,Предпосылки!$D162:$AG162)</f>
        <v>0</v>
      </c>
      <c r="G12" s="243">
        <f>SUMIF(Предпосылки!$D$160:$AG$160,выводы!G$7,Предпосылки!$D162:$AG162)</f>
        <v>0</v>
      </c>
      <c r="H12" s="243">
        <f>SUMIF(Предпосылки!$D$160:$AG$160,выводы!H$7,Предпосылки!$D162:$AG162)</f>
        <v>0</v>
      </c>
      <c r="I12" s="243">
        <f>SUMIF(Предпосылки!$D$160:$AG$160,выводы!I$7,Предпосылки!$D162:$AG162)</f>
        <v>0</v>
      </c>
      <c r="J12" s="243">
        <f>SUMIF(Предпосылки!$D$160:$AG$160,выводы!J$7,Предпосылки!$D162:$AG162)</f>
        <v>0</v>
      </c>
      <c r="K12" s="243">
        <f>SUMIF(Предпосылки!$D$160:$AG$160,выводы!K$7,Предпосылки!$D162:$AG162)</f>
        <v>0</v>
      </c>
      <c r="L12" s="243">
        <f>SUMIF(Предпосылки!$D$160:$AG$160,выводы!L$7,Предпосылки!$D162:$AG162)</f>
        <v>0</v>
      </c>
      <c r="M12" s="243">
        <f>SUMIF(Предпосылки!$D$160:$AG$160,выводы!M$7,Предпосылки!$D162:$AG162)</f>
        <v>0</v>
      </c>
      <c r="N12" s="243">
        <f>SUMIF(Предпосылки!$D$160:$AG$160,выводы!N$7,Предпосылки!$D162:$AG162)</f>
        <v>0</v>
      </c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</row>
    <row r="13" spans="2:33" outlineLevel="1">
      <c r="B13" s="242" t="str">
        <f>Предпосылки!B108</f>
        <v>Продукт 3</v>
      </c>
      <c r="C13" s="242">
        <f>Предпосылки!C108</f>
        <v>0</v>
      </c>
      <c r="D13" s="243">
        <f>Предпосылки!AJ163</f>
        <v>0</v>
      </c>
      <c r="E13" s="243">
        <f>Предпосылки!AI163</f>
        <v>0</v>
      </c>
      <c r="F13" s="243">
        <f>SUMIF(Предпосылки!$D$160:$AG$160,выводы!F$7,Предпосылки!$D163:$AG163)</f>
        <v>0</v>
      </c>
      <c r="G13" s="243">
        <f>SUMIF(Предпосылки!$D$160:$AG$160,выводы!G$7,Предпосылки!$D163:$AG163)</f>
        <v>0</v>
      </c>
      <c r="H13" s="243">
        <f>SUMIF(Предпосылки!$D$160:$AG$160,выводы!H$7,Предпосылки!$D163:$AG163)</f>
        <v>0</v>
      </c>
      <c r="I13" s="243">
        <f>SUMIF(Предпосылки!$D$160:$AG$160,выводы!I$7,Предпосылки!$D163:$AG163)</f>
        <v>0</v>
      </c>
      <c r="J13" s="243">
        <f>SUMIF(Предпосылки!$D$160:$AG$160,выводы!J$7,Предпосылки!$D163:$AG163)</f>
        <v>0</v>
      </c>
      <c r="K13" s="243">
        <f>SUMIF(Предпосылки!$D$160:$AG$160,выводы!K$7,Предпосылки!$D163:$AG163)</f>
        <v>0</v>
      </c>
      <c r="L13" s="243">
        <f>SUMIF(Предпосылки!$D$160:$AG$160,выводы!L$7,Предпосылки!$D163:$AG163)</f>
        <v>0</v>
      </c>
      <c r="M13" s="243">
        <f>SUMIF(Предпосылки!$D$160:$AG$160,выводы!M$7,Предпосылки!$D163:$AG163)</f>
        <v>0</v>
      </c>
      <c r="N13" s="243">
        <f>SUMIF(Предпосылки!$D$160:$AG$160,выводы!N$7,Предпосылки!$D163:$AG163)</f>
        <v>0</v>
      </c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</row>
    <row r="14" spans="2:33" outlineLevel="1">
      <c r="B14" s="242" t="str">
        <f>Предпосылки!B109</f>
        <v>Продукт 4</v>
      </c>
      <c r="C14" s="242">
        <f>Предпосылки!C109</f>
        <v>0</v>
      </c>
      <c r="D14" s="243">
        <f>Предпосылки!AJ164</f>
        <v>0</v>
      </c>
      <c r="E14" s="243">
        <f>Предпосылки!AI164</f>
        <v>0</v>
      </c>
      <c r="F14" s="243">
        <f>SUMIF(Предпосылки!$D$160:$AG$160,выводы!F$7,Предпосылки!$D164:$AG164)</f>
        <v>0</v>
      </c>
      <c r="G14" s="243">
        <f>SUMIF(Предпосылки!$D$160:$AG$160,выводы!G$7,Предпосылки!$D164:$AG164)</f>
        <v>0</v>
      </c>
      <c r="H14" s="243">
        <f>SUMIF(Предпосылки!$D$160:$AG$160,выводы!H$7,Предпосылки!$D164:$AG164)</f>
        <v>0</v>
      </c>
      <c r="I14" s="243">
        <f>SUMIF(Предпосылки!$D$160:$AG$160,выводы!I$7,Предпосылки!$D164:$AG164)</f>
        <v>0</v>
      </c>
      <c r="J14" s="243">
        <f>SUMIF(Предпосылки!$D$160:$AG$160,выводы!J$7,Предпосылки!$D164:$AG164)</f>
        <v>0</v>
      </c>
      <c r="K14" s="243">
        <f>SUMIF(Предпосылки!$D$160:$AG$160,выводы!K$7,Предпосылки!$D164:$AG164)</f>
        <v>0</v>
      </c>
      <c r="L14" s="243">
        <f>SUMIF(Предпосылки!$D$160:$AG$160,выводы!L$7,Предпосылки!$D164:$AG164)</f>
        <v>0</v>
      </c>
      <c r="M14" s="243">
        <f>SUMIF(Предпосылки!$D$160:$AG$160,выводы!M$7,Предпосылки!$D164:$AG164)</f>
        <v>0</v>
      </c>
      <c r="N14" s="243">
        <f>SUMIF(Предпосылки!$D$160:$AG$160,выводы!N$7,Предпосылки!$D164:$AG164)</f>
        <v>0</v>
      </c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</row>
    <row r="15" spans="2:33" outlineLevel="1">
      <c r="B15" s="242" t="str">
        <f>Предпосылки!B110</f>
        <v>Продукт 5</v>
      </c>
      <c r="C15" s="242">
        <f>Предпосылки!C110</f>
        <v>0</v>
      </c>
      <c r="D15" s="243">
        <f>Предпосылки!AJ165</f>
        <v>0</v>
      </c>
      <c r="E15" s="243">
        <f>Предпосылки!AI165</f>
        <v>0</v>
      </c>
      <c r="F15" s="243">
        <f>SUMIF(Предпосылки!$D$160:$AG$160,выводы!F$7,Предпосылки!$D165:$AG165)</f>
        <v>0</v>
      </c>
      <c r="G15" s="243">
        <f>SUMIF(Предпосылки!$D$160:$AG$160,выводы!G$7,Предпосылки!$D165:$AG165)</f>
        <v>0</v>
      </c>
      <c r="H15" s="243">
        <f>SUMIF(Предпосылки!$D$160:$AG$160,выводы!H$7,Предпосылки!$D165:$AG165)</f>
        <v>0</v>
      </c>
      <c r="I15" s="243">
        <f>SUMIF(Предпосылки!$D$160:$AG$160,выводы!I$7,Предпосылки!$D165:$AG165)</f>
        <v>0</v>
      </c>
      <c r="J15" s="243">
        <f>SUMIF(Предпосылки!$D$160:$AG$160,выводы!J$7,Предпосылки!$D165:$AG165)</f>
        <v>0</v>
      </c>
      <c r="K15" s="243">
        <f>SUMIF(Предпосылки!$D$160:$AG$160,выводы!K$7,Предпосылки!$D165:$AG165)</f>
        <v>0</v>
      </c>
      <c r="L15" s="243">
        <f>SUMIF(Предпосылки!$D$160:$AG$160,выводы!L$7,Предпосылки!$D165:$AG165)</f>
        <v>0</v>
      </c>
      <c r="M15" s="243">
        <f>SUMIF(Предпосылки!$D$160:$AG$160,выводы!M$7,Предпосылки!$D165:$AG165)</f>
        <v>0</v>
      </c>
      <c r="N15" s="243">
        <f>SUMIF(Предпосылки!$D$160:$AG$160,выводы!N$7,Предпосылки!$D165:$AG165)</f>
        <v>0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</row>
    <row r="16" spans="2:33" outlineLevel="1">
      <c r="B16" s="242" t="str">
        <f>Предпосылки!B111</f>
        <v>Продукт 6</v>
      </c>
      <c r="C16" s="242">
        <f>Предпосылки!C111</f>
        <v>0</v>
      </c>
      <c r="D16" s="243">
        <f>Предпосылки!AJ166</f>
        <v>0</v>
      </c>
      <c r="E16" s="243">
        <f>Предпосылки!AI166</f>
        <v>0</v>
      </c>
      <c r="F16" s="243">
        <f>SUMIF(Предпосылки!$D$160:$AG$160,выводы!F$7,Предпосылки!$D166:$AG166)</f>
        <v>0</v>
      </c>
      <c r="G16" s="243">
        <f>SUMIF(Предпосылки!$D$160:$AG$160,выводы!G$7,Предпосылки!$D166:$AG166)</f>
        <v>0</v>
      </c>
      <c r="H16" s="243">
        <f>SUMIF(Предпосылки!$D$160:$AG$160,выводы!H$7,Предпосылки!$D166:$AG166)</f>
        <v>0</v>
      </c>
      <c r="I16" s="243">
        <f>SUMIF(Предпосылки!$D$160:$AG$160,выводы!I$7,Предпосылки!$D166:$AG166)</f>
        <v>0</v>
      </c>
      <c r="J16" s="243">
        <f>SUMIF(Предпосылки!$D$160:$AG$160,выводы!J$7,Предпосылки!$D166:$AG166)</f>
        <v>0</v>
      </c>
      <c r="K16" s="243">
        <f>SUMIF(Предпосылки!$D$160:$AG$160,выводы!K$7,Предпосылки!$D166:$AG166)</f>
        <v>0</v>
      </c>
      <c r="L16" s="243">
        <f>SUMIF(Предпосылки!$D$160:$AG$160,выводы!L$7,Предпосылки!$D166:$AG166)</f>
        <v>0</v>
      </c>
      <c r="M16" s="243">
        <f>SUMIF(Предпосылки!$D$160:$AG$160,выводы!M$7,Предпосылки!$D166:$AG166)</f>
        <v>0</v>
      </c>
      <c r="N16" s="243">
        <f>SUMIF(Предпосылки!$D$160:$AG$160,выводы!N$7,Предпосылки!$D166:$AG166)</f>
        <v>0</v>
      </c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</row>
    <row r="17" spans="2:33" outlineLevel="1">
      <c r="B17" s="242" t="str">
        <f>Предпосылки!B112</f>
        <v>Продукт 7</v>
      </c>
      <c r="C17" s="242">
        <f>Предпосылки!C112</f>
        <v>0</v>
      </c>
      <c r="D17" s="243">
        <f>Предпосылки!AJ167</f>
        <v>0</v>
      </c>
      <c r="E17" s="243">
        <f>Предпосылки!AI167</f>
        <v>0</v>
      </c>
      <c r="F17" s="243">
        <f>SUMIF(Предпосылки!$D$160:$AG$160,выводы!F$7,Предпосылки!$D167:$AG167)</f>
        <v>0</v>
      </c>
      <c r="G17" s="243">
        <f>SUMIF(Предпосылки!$D$160:$AG$160,выводы!G$7,Предпосылки!$D167:$AG167)</f>
        <v>0</v>
      </c>
      <c r="H17" s="243">
        <f>SUMIF(Предпосылки!$D$160:$AG$160,выводы!H$7,Предпосылки!$D167:$AG167)</f>
        <v>0</v>
      </c>
      <c r="I17" s="243">
        <f>SUMIF(Предпосылки!$D$160:$AG$160,выводы!I$7,Предпосылки!$D167:$AG167)</f>
        <v>0</v>
      </c>
      <c r="J17" s="243">
        <f>SUMIF(Предпосылки!$D$160:$AG$160,выводы!J$7,Предпосылки!$D167:$AG167)</f>
        <v>0</v>
      </c>
      <c r="K17" s="243">
        <f>SUMIF(Предпосылки!$D$160:$AG$160,выводы!K$7,Предпосылки!$D167:$AG167)</f>
        <v>0</v>
      </c>
      <c r="L17" s="243">
        <f>SUMIF(Предпосылки!$D$160:$AG$160,выводы!L$7,Предпосылки!$D167:$AG167)</f>
        <v>0</v>
      </c>
      <c r="M17" s="243">
        <f>SUMIF(Предпосылки!$D$160:$AG$160,выводы!M$7,Предпосылки!$D167:$AG167)</f>
        <v>0</v>
      </c>
      <c r="N17" s="243">
        <f>SUMIF(Предпосылки!$D$160:$AG$160,выводы!N$7,Предпосылки!$D167:$AG167)</f>
        <v>0</v>
      </c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</row>
    <row r="18" spans="2:33" outlineLevel="1">
      <c r="B18" s="242" t="str">
        <f>Предпосылки!B113</f>
        <v>Продукт 8</v>
      </c>
      <c r="C18" s="242">
        <f>Предпосылки!C113</f>
        <v>0</v>
      </c>
      <c r="D18" s="243">
        <f>Предпосылки!AJ168</f>
        <v>0</v>
      </c>
      <c r="E18" s="243">
        <f>Предпосылки!AI168</f>
        <v>0</v>
      </c>
      <c r="F18" s="243">
        <f>SUMIF(Предпосылки!$D$160:$AG$160,выводы!F$7,Предпосылки!$D168:$AG168)</f>
        <v>0</v>
      </c>
      <c r="G18" s="243">
        <f>SUMIF(Предпосылки!$D$160:$AG$160,выводы!G$7,Предпосылки!$D168:$AG168)</f>
        <v>0</v>
      </c>
      <c r="H18" s="243">
        <f>SUMIF(Предпосылки!$D$160:$AG$160,выводы!H$7,Предпосылки!$D168:$AG168)</f>
        <v>0</v>
      </c>
      <c r="I18" s="243">
        <f>SUMIF(Предпосылки!$D$160:$AG$160,выводы!I$7,Предпосылки!$D168:$AG168)</f>
        <v>0</v>
      </c>
      <c r="J18" s="243">
        <f>SUMIF(Предпосылки!$D$160:$AG$160,выводы!J$7,Предпосылки!$D168:$AG168)</f>
        <v>0</v>
      </c>
      <c r="K18" s="243">
        <f>SUMIF(Предпосылки!$D$160:$AG$160,выводы!K$7,Предпосылки!$D168:$AG168)</f>
        <v>0</v>
      </c>
      <c r="L18" s="243">
        <f>SUMIF(Предпосылки!$D$160:$AG$160,выводы!L$7,Предпосылки!$D168:$AG168)</f>
        <v>0</v>
      </c>
      <c r="M18" s="243">
        <f>SUMIF(Предпосылки!$D$160:$AG$160,выводы!M$7,Предпосылки!$D168:$AG168)</f>
        <v>0</v>
      </c>
      <c r="N18" s="243">
        <f>SUMIF(Предпосылки!$D$160:$AG$160,выводы!N$7,Предпосылки!$D168:$AG168)</f>
        <v>0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</row>
    <row r="19" spans="2:33" outlineLevel="1">
      <c r="B19" s="242" t="str">
        <f>Предпосылки!B114</f>
        <v>Продукт 9</v>
      </c>
      <c r="C19" s="242">
        <f>Предпосылки!C114</f>
        <v>0</v>
      </c>
      <c r="D19" s="243">
        <f>Предпосылки!AJ169</f>
        <v>0</v>
      </c>
      <c r="E19" s="243">
        <f>Предпосылки!AI169</f>
        <v>0</v>
      </c>
      <c r="F19" s="243">
        <f>SUMIF(Предпосылки!$D$160:$AG$160,выводы!F$7,Предпосылки!$D169:$AG169)</f>
        <v>0</v>
      </c>
      <c r="G19" s="243">
        <f>SUMIF(Предпосылки!$D$160:$AG$160,выводы!G$7,Предпосылки!$D169:$AG169)</f>
        <v>0</v>
      </c>
      <c r="H19" s="243">
        <f>SUMIF(Предпосылки!$D$160:$AG$160,выводы!H$7,Предпосылки!$D169:$AG169)</f>
        <v>0</v>
      </c>
      <c r="I19" s="243">
        <f>SUMIF(Предпосылки!$D$160:$AG$160,выводы!I$7,Предпосылки!$D169:$AG169)</f>
        <v>0</v>
      </c>
      <c r="J19" s="243">
        <f>SUMIF(Предпосылки!$D$160:$AG$160,выводы!J$7,Предпосылки!$D169:$AG169)</f>
        <v>0</v>
      </c>
      <c r="K19" s="243">
        <f>SUMIF(Предпосылки!$D$160:$AG$160,выводы!K$7,Предпосылки!$D169:$AG169)</f>
        <v>0</v>
      </c>
      <c r="L19" s="243">
        <f>SUMIF(Предпосылки!$D$160:$AG$160,выводы!L$7,Предпосылки!$D169:$AG169)</f>
        <v>0</v>
      </c>
      <c r="M19" s="243">
        <f>SUMIF(Предпосылки!$D$160:$AG$160,выводы!M$7,Предпосылки!$D169:$AG169)</f>
        <v>0</v>
      </c>
      <c r="N19" s="243">
        <f>SUMIF(Предпосылки!$D$160:$AG$160,выводы!N$7,Предпосылки!$D169:$AG169)</f>
        <v>0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</row>
    <row r="20" spans="2:33" outlineLevel="1">
      <c r="B20" s="242" t="str">
        <f>Предпосылки!B115</f>
        <v>Продукт 10</v>
      </c>
      <c r="C20" s="242">
        <f>Предпосылки!C115</f>
        <v>0</v>
      </c>
      <c r="D20" s="243">
        <f>Предпосылки!AJ170</f>
        <v>0</v>
      </c>
      <c r="E20" s="243">
        <f>Предпосылки!AI170</f>
        <v>0</v>
      </c>
      <c r="F20" s="243">
        <f>SUMIF(Предпосылки!$D$160:$AG$160,выводы!F$7,Предпосылки!$D170:$AG170)</f>
        <v>0</v>
      </c>
      <c r="G20" s="243">
        <f>SUMIF(Предпосылки!$D$160:$AG$160,выводы!G$7,Предпосылки!$D170:$AG170)</f>
        <v>0</v>
      </c>
      <c r="H20" s="243">
        <f>SUMIF(Предпосылки!$D$160:$AG$160,выводы!H$7,Предпосылки!$D170:$AG170)</f>
        <v>0</v>
      </c>
      <c r="I20" s="243">
        <f>SUMIF(Предпосылки!$D$160:$AG$160,выводы!I$7,Предпосылки!$D170:$AG170)</f>
        <v>0</v>
      </c>
      <c r="J20" s="243">
        <f>SUMIF(Предпосылки!$D$160:$AG$160,выводы!J$7,Предпосылки!$D170:$AG170)</f>
        <v>0</v>
      </c>
      <c r="K20" s="243">
        <f>SUMIF(Предпосылки!$D$160:$AG$160,выводы!K$7,Предпосылки!$D170:$AG170)</f>
        <v>0</v>
      </c>
      <c r="L20" s="243">
        <f>SUMIF(Предпосылки!$D$160:$AG$160,выводы!L$7,Предпосылки!$D170:$AG170)</f>
        <v>0</v>
      </c>
      <c r="M20" s="243">
        <f>SUMIF(Предпосылки!$D$160:$AG$160,выводы!M$7,Предпосылки!$D170:$AG170)</f>
        <v>0</v>
      </c>
      <c r="N20" s="243">
        <f>SUMIF(Предпосылки!$D$160:$AG$160,выводы!N$7,Предпосылки!$D170:$AG170)</f>
        <v>0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</row>
    <row r="21" spans="2:33" outlineLevel="1">
      <c r="B21" s="242" t="str">
        <f>Предпосылки!B116</f>
        <v>Продукт 11</v>
      </c>
      <c r="C21" s="242">
        <f>Предпосылки!C116</f>
        <v>0</v>
      </c>
      <c r="D21" s="243">
        <f>Предпосылки!AJ171</f>
        <v>0</v>
      </c>
      <c r="E21" s="243">
        <f>Предпосылки!AI171</f>
        <v>0</v>
      </c>
      <c r="F21" s="243">
        <f>SUMIF(Предпосылки!$D$160:$AG$160,выводы!F$7,Предпосылки!$D171:$AG171)</f>
        <v>0</v>
      </c>
      <c r="G21" s="243">
        <f>SUMIF(Предпосылки!$D$160:$AG$160,выводы!G$7,Предпосылки!$D171:$AG171)</f>
        <v>0</v>
      </c>
      <c r="H21" s="243">
        <f>SUMIF(Предпосылки!$D$160:$AG$160,выводы!H$7,Предпосылки!$D171:$AG171)</f>
        <v>0</v>
      </c>
      <c r="I21" s="243">
        <f>SUMIF(Предпосылки!$D$160:$AG$160,выводы!I$7,Предпосылки!$D171:$AG171)</f>
        <v>0</v>
      </c>
      <c r="J21" s="243">
        <f>SUMIF(Предпосылки!$D$160:$AG$160,выводы!J$7,Предпосылки!$D171:$AG171)</f>
        <v>0</v>
      </c>
      <c r="K21" s="243">
        <f>SUMIF(Предпосылки!$D$160:$AG$160,выводы!K$7,Предпосылки!$D171:$AG171)</f>
        <v>0</v>
      </c>
      <c r="L21" s="243">
        <f>SUMIF(Предпосылки!$D$160:$AG$160,выводы!L$7,Предпосылки!$D171:$AG171)</f>
        <v>0</v>
      </c>
      <c r="M21" s="243">
        <f>SUMIF(Предпосылки!$D$160:$AG$160,выводы!M$7,Предпосылки!$D171:$AG171)</f>
        <v>0</v>
      </c>
      <c r="N21" s="243">
        <f>SUMIF(Предпосылки!$D$160:$AG$160,выводы!N$7,Предпосылки!$D171:$AG171)</f>
        <v>0</v>
      </c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</row>
    <row r="22" spans="2:33" outlineLevel="1">
      <c r="B22" s="242" t="str">
        <f>Предпосылки!B117</f>
        <v>Продукт 12</v>
      </c>
      <c r="C22" s="242">
        <f>Предпосылки!C117</f>
        <v>0</v>
      </c>
      <c r="D22" s="243">
        <f>Предпосылки!AJ172</f>
        <v>0</v>
      </c>
      <c r="E22" s="243">
        <f>Предпосылки!AI172</f>
        <v>0</v>
      </c>
      <c r="F22" s="243">
        <f>SUMIF(Предпосылки!$D$160:$AG$160,выводы!F$7,Предпосылки!$D172:$AG172)</f>
        <v>0</v>
      </c>
      <c r="G22" s="243">
        <f>SUMIF(Предпосылки!$D$160:$AG$160,выводы!G$7,Предпосылки!$D172:$AG172)</f>
        <v>0</v>
      </c>
      <c r="H22" s="243">
        <f>SUMIF(Предпосылки!$D$160:$AG$160,выводы!H$7,Предпосылки!$D172:$AG172)</f>
        <v>0</v>
      </c>
      <c r="I22" s="243">
        <f>SUMIF(Предпосылки!$D$160:$AG$160,выводы!I$7,Предпосылки!$D172:$AG172)</f>
        <v>0</v>
      </c>
      <c r="J22" s="243">
        <f>SUMIF(Предпосылки!$D$160:$AG$160,выводы!J$7,Предпосылки!$D172:$AG172)</f>
        <v>0</v>
      </c>
      <c r="K22" s="243">
        <f>SUMIF(Предпосылки!$D$160:$AG$160,выводы!K$7,Предпосылки!$D172:$AG172)</f>
        <v>0</v>
      </c>
      <c r="L22" s="243">
        <f>SUMIF(Предпосылки!$D$160:$AG$160,выводы!L$7,Предпосылки!$D172:$AG172)</f>
        <v>0</v>
      </c>
      <c r="M22" s="243">
        <f>SUMIF(Предпосылки!$D$160:$AG$160,выводы!M$7,Предпосылки!$D172:$AG172)</f>
        <v>0</v>
      </c>
      <c r="N22" s="243">
        <f>SUMIF(Предпосылки!$D$160:$AG$160,выводы!N$7,Предпосылки!$D172:$AG172)</f>
        <v>0</v>
      </c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</row>
    <row r="23" spans="2:33" outlineLevel="1">
      <c r="B23" s="242" t="str">
        <f>Предпосылки!B118</f>
        <v>Продукт 13</v>
      </c>
      <c r="C23" s="242">
        <f>Предпосылки!C118</f>
        <v>0</v>
      </c>
      <c r="D23" s="243">
        <f>Предпосылки!AJ173</f>
        <v>0</v>
      </c>
      <c r="E23" s="243">
        <f>Предпосылки!AI173</f>
        <v>0</v>
      </c>
      <c r="F23" s="243">
        <f>SUMIF(Предпосылки!$D$160:$AG$160,выводы!F$7,Предпосылки!$D173:$AG173)</f>
        <v>0</v>
      </c>
      <c r="G23" s="243">
        <f>SUMIF(Предпосылки!$D$160:$AG$160,выводы!G$7,Предпосылки!$D173:$AG173)</f>
        <v>0</v>
      </c>
      <c r="H23" s="243">
        <f>SUMIF(Предпосылки!$D$160:$AG$160,выводы!H$7,Предпосылки!$D173:$AG173)</f>
        <v>0</v>
      </c>
      <c r="I23" s="243">
        <f>SUMIF(Предпосылки!$D$160:$AG$160,выводы!I$7,Предпосылки!$D173:$AG173)</f>
        <v>0</v>
      </c>
      <c r="J23" s="243">
        <f>SUMIF(Предпосылки!$D$160:$AG$160,выводы!J$7,Предпосылки!$D173:$AG173)</f>
        <v>0</v>
      </c>
      <c r="K23" s="243">
        <f>SUMIF(Предпосылки!$D$160:$AG$160,выводы!K$7,Предпосылки!$D173:$AG173)</f>
        <v>0</v>
      </c>
      <c r="L23" s="243">
        <f>SUMIF(Предпосылки!$D$160:$AG$160,выводы!L$7,Предпосылки!$D173:$AG173)</f>
        <v>0</v>
      </c>
      <c r="M23" s="243">
        <f>SUMIF(Предпосылки!$D$160:$AG$160,выводы!M$7,Предпосылки!$D173:$AG173)</f>
        <v>0</v>
      </c>
      <c r="N23" s="243">
        <f>SUMIF(Предпосылки!$D$160:$AG$160,выводы!N$7,Предпосылки!$D173:$AG173)</f>
        <v>0</v>
      </c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</row>
    <row r="24" spans="2:33" outlineLevel="1">
      <c r="B24" s="242" t="str">
        <f>Предпосылки!B119</f>
        <v>Продукт 14</v>
      </c>
      <c r="C24" s="242">
        <f>Предпосылки!C119</f>
        <v>0</v>
      </c>
      <c r="D24" s="243">
        <f>Предпосылки!AJ174</f>
        <v>0</v>
      </c>
      <c r="E24" s="243">
        <f>Предпосылки!AI174</f>
        <v>0</v>
      </c>
      <c r="F24" s="243">
        <f>SUMIF(Предпосылки!$D$160:$AG$160,выводы!F$7,Предпосылки!$D174:$AG174)</f>
        <v>0</v>
      </c>
      <c r="G24" s="243">
        <f>SUMIF(Предпосылки!$D$160:$AG$160,выводы!G$7,Предпосылки!$D174:$AG174)</f>
        <v>0</v>
      </c>
      <c r="H24" s="243">
        <f>SUMIF(Предпосылки!$D$160:$AG$160,выводы!H$7,Предпосылки!$D174:$AG174)</f>
        <v>0</v>
      </c>
      <c r="I24" s="243">
        <f>SUMIF(Предпосылки!$D$160:$AG$160,выводы!I$7,Предпосылки!$D174:$AG174)</f>
        <v>0</v>
      </c>
      <c r="J24" s="243">
        <f>SUMIF(Предпосылки!$D$160:$AG$160,выводы!J$7,Предпосылки!$D174:$AG174)</f>
        <v>0</v>
      </c>
      <c r="K24" s="243">
        <f>SUMIF(Предпосылки!$D$160:$AG$160,выводы!K$7,Предпосылки!$D174:$AG174)</f>
        <v>0</v>
      </c>
      <c r="L24" s="243">
        <f>SUMIF(Предпосылки!$D$160:$AG$160,выводы!L$7,Предпосылки!$D174:$AG174)</f>
        <v>0</v>
      </c>
      <c r="M24" s="243">
        <f>SUMIF(Предпосылки!$D$160:$AG$160,выводы!M$7,Предпосылки!$D174:$AG174)</f>
        <v>0</v>
      </c>
      <c r="N24" s="243">
        <f>SUMIF(Предпосылки!$D$160:$AG$160,выводы!N$7,Предпосылки!$D174:$AG174)</f>
        <v>0</v>
      </c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</row>
    <row r="25" spans="2:33" outlineLevel="1">
      <c r="B25" s="242" t="str">
        <f>Предпосылки!B120</f>
        <v>Продукт 15</v>
      </c>
      <c r="C25" s="242">
        <f>Предпосылки!C120</f>
        <v>0</v>
      </c>
      <c r="D25" s="243">
        <f>Предпосылки!AJ175</f>
        <v>0</v>
      </c>
      <c r="E25" s="243">
        <f>Предпосылки!AI175</f>
        <v>0</v>
      </c>
      <c r="F25" s="243">
        <f>SUMIF(Предпосылки!$D$160:$AG$160,выводы!F$7,Предпосылки!$D175:$AG175)</f>
        <v>0</v>
      </c>
      <c r="G25" s="243">
        <f>SUMIF(Предпосылки!$D$160:$AG$160,выводы!G$7,Предпосылки!$D175:$AG175)</f>
        <v>0</v>
      </c>
      <c r="H25" s="243">
        <f>SUMIF(Предпосылки!$D$160:$AG$160,выводы!H$7,Предпосылки!$D175:$AG175)</f>
        <v>0</v>
      </c>
      <c r="I25" s="243">
        <f>SUMIF(Предпосылки!$D$160:$AG$160,выводы!I$7,Предпосылки!$D175:$AG175)</f>
        <v>0</v>
      </c>
      <c r="J25" s="243">
        <f>SUMIF(Предпосылки!$D$160:$AG$160,выводы!J$7,Предпосылки!$D175:$AG175)</f>
        <v>0</v>
      </c>
      <c r="K25" s="243">
        <f>SUMIF(Предпосылки!$D$160:$AG$160,выводы!K$7,Предпосылки!$D175:$AG175)</f>
        <v>0</v>
      </c>
      <c r="L25" s="243">
        <f>SUMIF(Предпосылки!$D$160:$AG$160,выводы!L$7,Предпосылки!$D175:$AG175)</f>
        <v>0</v>
      </c>
      <c r="M25" s="243">
        <f>SUMIF(Предпосылки!$D$160:$AG$160,выводы!M$7,Предпосылки!$D175:$AG175)</f>
        <v>0</v>
      </c>
      <c r="N25" s="243">
        <f>SUMIF(Предпосылки!$D$160:$AG$160,выводы!N$7,Предпосылки!$D175:$AG175)</f>
        <v>0</v>
      </c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</row>
    <row r="26" spans="2:33" outlineLevel="1">
      <c r="B26" s="242" t="str">
        <f>Предпосылки!B121</f>
        <v>Продукт 16</v>
      </c>
      <c r="C26" s="242">
        <f>Предпосылки!C121</f>
        <v>0</v>
      </c>
      <c r="D26" s="243">
        <f>Предпосылки!AJ176</f>
        <v>0</v>
      </c>
      <c r="E26" s="243">
        <f>Предпосылки!AI176</f>
        <v>0</v>
      </c>
      <c r="F26" s="243">
        <f>SUMIF(Предпосылки!$D$160:$AG$160,выводы!F$7,Предпосылки!$D176:$AG176)</f>
        <v>0</v>
      </c>
      <c r="G26" s="243">
        <f>SUMIF(Предпосылки!$D$160:$AG$160,выводы!G$7,Предпосылки!$D176:$AG176)</f>
        <v>0</v>
      </c>
      <c r="H26" s="243">
        <f>SUMIF(Предпосылки!$D$160:$AG$160,выводы!H$7,Предпосылки!$D176:$AG176)</f>
        <v>0</v>
      </c>
      <c r="I26" s="243">
        <f>SUMIF(Предпосылки!$D$160:$AG$160,выводы!I$7,Предпосылки!$D176:$AG176)</f>
        <v>0</v>
      </c>
      <c r="J26" s="243">
        <f>SUMIF(Предпосылки!$D$160:$AG$160,выводы!J$7,Предпосылки!$D176:$AG176)</f>
        <v>0</v>
      </c>
      <c r="K26" s="243">
        <f>SUMIF(Предпосылки!$D$160:$AG$160,выводы!K$7,Предпосылки!$D176:$AG176)</f>
        <v>0</v>
      </c>
      <c r="L26" s="243">
        <f>SUMIF(Предпосылки!$D$160:$AG$160,выводы!L$7,Предпосылки!$D176:$AG176)</f>
        <v>0</v>
      </c>
      <c r="M26" s="243">
        <f>SUMIF(Предпосылки!$D$160:$AG$160,выводы!M$7,Предпосылки!$D176:$AG176)</f>
        <v>0</v>
      </c>
      <c r="N26" s="243">
        <f>SUMIF(Предпосылки!$D$160:$AG$160,выводы!N$7,Предпосылки!$D176:$AG176)</f>
        <v>0</v>
      </c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</row>
    <row r="27" spans="2:33" outlineLevel="1">
      <c r="B27" s="242" t="str">
        <f>Предпосылки!B122</f>
        <v>Продукт 17</v>
      </c>
      <c r="C27" s="242">
        <f>Предпосылки!C122</f>
        <v>0</v>
      </c>
      <c r="D27" s="243">
        <f>Предпосылки!AJ177</f>
        <v>0</v>
      </c>
      <c r="E27" s="243">
        <f>Предпосылки!AI177</f>
        <v>0</v>
      </c>
      <c r="F27" s="243">
        <f>SUMIF(Предпосылки!$D$160:$AG$160,выводы!F$7,Предпосылки!$D177:$AG177)</f>
        <v>0</v>
      </c>
      <c r="G27" s="243">
        <f>SUMIF(Предпосылки!$D$160:$AG$160,выводы!G$7,Предпосылки!$D177:$AG177)</f>
        <v>0</v>
      </c>
      <c r="H27" s="243">
        <f>SUMIF(Предпосылки!$D$160:$AG$160,выводы!H$7,Предпосылки!$D177:$AG177)</f>
        <v>0</v>
      </c>
      <c r="I27" s="243">
        <f>SUMIF(Предпосылки!$D$160:$AG$160,выводы!I$7,Предпосылки!$D177:$AG177)</f>
        <v>0</v>
      </c>
      <c r="J27" s="243">
        <f>SUMIF(Предпосылки!$D$160:$AG$160,выводы!J$7,Предпосылки!$D177:$AG177)</f>
        <v>0</v>
      </c>
      <c r="K27" s="243">
        <f>SUMIF(Предпосылки!$D$160:$AG$160,выводы!K$7,Предпосылки!$D177:$AG177)</f>
        <v>0</v>
      </c>
      <c r="L27" s="243">
        <f>SUMIF(Предпосылки!$D$160:$AG$160,выводы!L$7,Предпосылки!$D177:$AG177)</f>
        <v>0</v>
      </c>
      <c r="M27" s="243">
        <f>SUMIF(Предпосылки!$D$160:$AG$160,выводы!M$7,Предпосылки!$D177:$AG177)</f>
        <v>0</v>
      </c>
      <c r="N27" s="243">
        <f>SUMIF(Предпосылки!$D$160:$AG$160,выводы!N$7,Предпосылки!$D177:$AG177)</f>
        <v>0</v>
      </c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</row>
    <row r="28" spans="2:33" outlineLevel="1">
      <c r="B28" s="242" t="str">
        <f>Предпосылки!B123</f>
        <v>Продукт 18</v>
      </c>
      <c r="C28" s="242">
        <f>Предпосылки!C123</f>
        <v>0</v>
      </c>
      <c r="D28" s="243">
        <f>Предпосылки!AJ178</f>
        <v>0</v>
      </c>
      <c r="E28" s="243">
        <f>Предпосылки!AI178</f>
        <v>0</v>
      </c>
      <c r="F28" s="243">
        <f>SUMIF(Предпосылки!$D$160:$AG$160,выводы!F$7,Предпосылки!$D178:$AG178)</f>
        <v>0</v>
      </c>
      <c r="G28" s="243">
        <f>SUMIF(Предпосылки!$D$160:$AG$160,выводы!G$7,Предпосылки!$D178:$AG178)</f>
        <v>0</v>
      </c>
      <c r="H28" s="243">
        <f>SUMIF(Предпосылки!$D$160:$AG$160,выводы!H$7,Предпосылки!$D178:$AG178)</f>
        <v>0</v>
      </c>
      <c r="I28" s="243">
        <f>SUMIF(Предпосылки!$D$160:$AG$160,выводы!I$7,Предпосылки!$D178:$AG178)</f>
        <v>0</v>
      </c>
      <c r="J28" s="243">
        <f>SUMIF(Предпосылки!$D$160:$AG$160,выводы!J$7,Предпосылки!$D178:$AG178)</f>
        <v>0</v>
      </c>
      <c r="K28" s="243">
        <f>SUMIF(Предпосылки!$D$160:$AG$160,выводы!K$7,Предпосылки!$D178:$AG178)</f>
        <v>0</v>
      </c>
      <c r="L28" s="243">
        <f>SUMIF(Предпосылки!$D$160:$AG$160,выводы!L$7,Предпосылки!$D178:$AG178)</f>
        <v>0</v>
      </c>
      <c r="M28" s="243">
        <f>SUMIF(Предпосылки!$D$160:$AG$160,выводы!M$7,Предпосылки!$D178:$AG178)</f>
        <v>0</v>
      </c>
      <c r="N28" s="243">
        <f>SUMIF(Предпосылки!$D$160:$AG$160,выводы!N$7,Предпосылки!$D178:$AG178)</f>
        <v>0</v>
      </c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</row>
    <row r="29" spans="2:33" outlineLevel="1">
      <c r="B29" s="242" t="str">
        <f>Предпосылки!B124</f>
        <v>Продукт 19</v>
      </c>
      <c r="C29" s="242">
        <f>Предпосылки!C124</f>
        <v>0</v>
      </c>
      <c r="D29" s="243">
        <f>Предпосылки!AJ179</f>
        <v>0</v>
      </c>
      <c r="E29" s="243">
        <f>Предпосылки!AI179</f>
        <v>0</v>
      </c>
      <c r="F29" s="243">
        <f>SUMIF(Предпосылки!$D$160:$AG$160,выводы!F$7,Предпосылки!$D179:$AG179)</f>
        <v>0</v>
      </c>
      <c r="G29" s="243">
        <f>SUMIF(Предпосылки!$D$160:$AG$160,выводы!G$7,Предпосылки!$D179:$AG179)</f>
        <v>0</v>
      </c>
      <c r="H29" s="243">
        <f>SUMIF(Предпосылки!$D$160:$AG$160,выводы!H$7,Предпосылки!$D179:$AG179)</f>
        <v>0</v>
      </c>
      <c r="I29" s="243">
        <f>SUMIF(Предпосылки!$D$160:$AG$160,выводы!I$7,Предпосылки!$D179:$AG179)</f>
        <v>0</v>
      </c>
      <c r="J29" s="243">
        <f>SUMIF(Предпосылки!$D$160:$AG$160,выводы!J$7,Предпосылки!$D179:$AG179)</f>
        <v>0</v>
      </c>
      <c r="K29" s="243">
        <f>SUMIF(Предпосылки!$D$160:$AG$160,выводы!K$7,Предпосылки!$D179:$AG179)</f>
        <v>0</v>
      </c>
      <c r="L29" s="243">
        <f>SUMIF(Предпосылки!$D$160:$AG$160,выводы!L$7,Предпосылки!$D179:$AG179)</f>
        <v>0</v>
      </c>
      <c r="M29" s="243">
        <f>SUMIF(Предпосылки!$D$160:$AG$160,выводы!M$7,Предпосылки!$D179:$AG179)</f>
        <v>0</v>
      </c>
      <c r="N29" s="243">
        <f>SUMIF(Предпосылки!$D$160:$AG$160,выводы!N$7,Предпосылки!$D179:$AG179)</f>
        <v>0</v>
      </c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</row>
    <row r="30" spans="2:33" outlineLevel="1">
      <c r="B30" s="242" t="str">
        <f>Предпосылки!B125</f>
        <v>Продукт 20</v>
      </c>
      <c r="C30" s="242">
        <f>Предпосылки!C125</f>
        <v>0</v>
      </c>
      <c r="D30" s="243">
        <f>Предпосылки!AJ180</f>
        <v>0</v>
      </c>
      <c r="E30" s="243">
        <f>Предпосылки!AI180</f>
        <v>0</v>
      </c>
      <c r="F30" s="243">
        <f>SUMIF(Предпосылки!$D$160:$AG$160,выводы!F$7,Предпосылки!$D180:$AG180)</f>
        <v>0</v>
      </c>
      <c r="G30" s="243">
        <f>SUMIF(Предпосылки!$D$160:$AG$160,выводы!G$7,Предпосылки!$D180:$AG180)</f>
        <v>0</v>
      </c>
      <c r="H30" s="243">
        <f>SUMIF(Предпосылки!$D$160:$AG$160,выводы!H$7,Предпосылки!$D180:$AG180)</f>
        <v>0</v>
      </c>
      <c r="I30" s="243">
        <f>SUMIF(Предпосылки!$D$160:$AG$160,выводы!I$7,Предпосылки!$D180:$AG180)</f>
        <v>0</v>
      </c>
      <c r="J30" s="243">
        <f>SUMIF(Предпосылки!$D$160:$AG$160,выводы!J$7,Предпосылки!$D180:$AG180)</f>
        <v>0</v>
      </c>
      <c r="K30" s="243">
        <f>SUMIF(Предпосылки!$D$160:$AG$160,выводы!K$7,Предпосылки!$D180:$AG180)</f>
        <v>0</v>
      </c>
      <c r="L30" s="243">
        <f>SUMIF(Предпосылки!$D$160:$AG$160,выводы!L$7,Предпосылки!$D180:$AG180)</f>
        <v>0</v>
      </c>
      <c r="M30" s="243">
        <f>SUMIF(Предпосылки!$D$160:$AG$160,выводы!M$7,Предпосылки!$D180:$AG180)</f>
        <v>0</v>
      </c>
      <c r="N30" s="243">
        <f>SUMIF(Предпосылки!$D$160:$AG$160,выводы!N$7,Предпосылки!$D180:$AG180)</f>
        <v>0</v>
      </c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</row>
    <row r="31" spans="2:33">
      <c r="B31" s="216"/>
      <c r="C31" s="216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</row>
    <row r="32" spans="2:33" ht="15.75">
      <c r="B32" s="62" t="s">
        <v>74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</row>
    <row r="33" spans="2:14">
      <c r="B33" s="369" t="s">
        <v>91</v>
      </c>
      <c r="C33" s="369" t="s">
        <v>63</v>
      </c>
      <c r="D33" s="369" t="s">
        <v>71</v>
      </c>
      <c r="E33" s="370" t="s">
        <v>92</v>
      </c>
      <c r="F33" s="369">
        <f>F7</f>
        <v>2026</v>
      </c>
      <c r="G33" s="369">
        <f t="shared" ref="G33:N33" si="3">G7</f>
        <v>2027</v>
      </c>
      <c r="H33" s="369">
        <f t="shared" si="3"/>
        <v>2028</v>
      </c>
      <c r="I33" s="369">
        <f t="shared" si="3"/>
        <v>2029</v>
      </c>
      <c r="J33" s="369">
        <f t="shared" si="3"/>
        <v>2030</v>
      </c>
      <c r="K33" s="369">
        <f t="shared" si="3"/>
        <v>2031</v>
      </c>
      <c r="L33" s="369">
        <f t="shared" si="3"/>
        <v>2032</v>
      </c>
      <c r="M33" s="369">
        <f t="shared" si="3"/>
        <v>2033</v>
      </c>
      <c r="N33" s="369">
        <f t="shared" si="3"/>
        <v>2034</v>
      </c>
    </row>
    <row r="34" spans="2:14">
      <c r="B34" s="369"/>
      <c r="C34" s="369"/>
      <c r="D34" s="369"/>
      <c r="E34" s="370"/>
      <c r="F34" s="369"/>
      <c r="G34" s="369"/>
      <c r="H34" s="369"/>
      <c r="I34" s="369"/>
      <c r="J34" s="369"/>
      <c r="K34" s="369"/>
      <c r="L34" s="369"/>
      <c r="M34" s="369"/>
      <c r="N34" s="369"/>
    </row>
    <row r="35" spans="2:14">
      <c r="B35" s="242" t="s">
        <v>282</v>
      </c>
      <c r="C35" s="244" t="s">
        <v>29</v>
      </c>
      <c r="D35" s="245">
        <f>'Годовая отчетность'!D31</f>
        <v>-17143.335837295082</v>
      </c>
      <c r="E35" s="245">
        <f>'Годовая отчетность'!E31</f>
        <v>-5520.1813217213139</v>
      </c>
      <c r="F35" s="245">
        <f>'Годовая отчетность'!F31</f>
        <v>7060.8179767418042</v>
      </c>
      <c r="G35" s="245">
        <f>'Годовая отчетность'!G31</f>
        <v>-2008.8883643442623</v>
      </c>
      <c r="H35" s="245">
        <f>'Годовая отчетность'!H31</f>
        <v>-2903.4733643442628</v>
      </c>
      <c r="I35" s="245">
        <f>'Годовая отчетность'!I31</f>
        <v>-3205.1083643442626</v>
      </c>
      <c r="J35" s="245">
        <f>'Годовая отчетность'!J31</f>
        <v>-3528.6733643442631</v>
      </c>
      <c r="K35" s="245">
        <f>'Годовая отчетность'!K31</f>
        <v>-5117.9975344262293</v>
      </c>
      <c r="L35" s="245">
        <f>'Годовая отчетность'!L31</f>
        <v>-5903.5422577868849</v>
      </c>
      <c r="M35" s="245">
        <f>'Годовая отчетность'!M31</f>
        <v>-1594.1961288934426</v>
      </c>
      <c r="N35" s="245">
        <f>'Годовая отчетность'!N31</f>
        <v>0</v>
      </c>
    </row>
    <row r="36" spans="2:14">
      <c r="B36" s="242" t="s">
        <v>283</v>
      </c>
      <c r="C36" s="244" t="s">
        <v>29</v>
      </c>
      <c r="D36" s="245">
        <f>'Годовая отчетность'!D38</f>
        <v>-30000</v>
      </c>
      <c r="E36" s="245">
        <f>'Годовая отчетность'!E38</f>
        <v>-30000</v>
      </c>
      <c r="F36" s="245">
        <f>'Годовая отчетность'!F38</f>
        <v>-30000</v>
      </c>
      <c r="G36" s="245">
        <f>'Годовая отчетность'!G38</f>
        <v>0</v>
      </c>
      <c r="H36" s="245">
        <f>'Годовая отчетность'!H38</f>
        <v>0</v>
      </c>
      <c r="I36" s="245">
        <f>'Годовая отчетность'!I38</f>
        <v>0</v>
      </c>
      <c r="J36" s="245">
        <f>'Годовая отчетность'!J38</f>
        <v>0</v>
      </c>
      <c r="K36" s="245">
        <f>'Годовая отчетность'!K38</f>
        <v>0</v>
      </c>
      <c r="L36" s="245">
        <f>'Годовая отчетность'!L38</f>
        <v>0</v>
      </c>
      <c r="M36" s="245">
        <f>'Годовая отчетность'!M38</f>
        <v>0</v>
      </c>
      <c r="N36" s="245">
        <f>'Годовая отчетность'!N38</f>
        <v>0</v>
      </c>
    </row>
    <row r="37" spans="2:14">
      <c r="B37" s="242" t="s">
        <v>284</v>
      </c>
      <c r="C37" s="244" t="s">
        <v>29</v>
      </c>
      <c r="D37" s="245">
        <f>'Годовая отчетность'!D51</f>
        <v>-986.98630136986321</v>
      </c>
      <c r="E37" s="245">
        <f>'Годовая отчетность'!E51</f>
        <v>-986.98630136986321</v>
      </c>
      <c r="F37" s="245">
        <f>'Годовая отчетность'!F51</f>
        <v>4791.7808219178078</v>
      </c>
      <c r="G37" s="245">
        <f>'Годовая отчетность'!G51</f>
        <v>-250</v>
      </c>
      <c r="H37" s="245">
        <f>'Годовая отчетность'!H51</f>
        <v>-250.6849315068493</v>
      </c>
      <c r="I37" s="245">
        <f>'Годовая отчетность'!I51</f>
        <v>-2073.972602739726</v>
      </c>
      <c r="J37" s="245">
        <f>'Годовая отчетность'!J51</f>
        <v>-2573.972602739726</v>
      </c>
      <c r="K37" s="245">
        <f>'Годовая отчетность'!K51</f>
        <v>-630.13698630136992</v>
      </c>
      <c r="L37" s="245">
        <f>'Годовая отчетность'!L51</f>
        <v>0</v>
      </c>
      <c r="M37" s="245">
        <f>'Годовая отчетность'!M51</f>
        <v>0</v>
      </c>
      <c r="N37" s="245">
        <f>'Годовая отчетность'!N51</f>
        <v>0</v>
      </c>
    </row>
    <row r="38" spans="2:14">
      <c r="B38" s="247" t="s">
        <v>285</v>
      </c>
      <c r="C38" s="248" t="s">
        <v>29</v>
      </c>
      <c r="D38" s="245">
        <f>D35+D36+D37</f>
        <v>-48130.322138664946</v>
      </c>
      <c r="E38" s="245">
        <f t="shared" ref="E38:N38" si="4">E35+E36+E37</f>
        <v>-36507.167623091176</v>
      </c>
      <c r="F38" s="245">
        <f>F35+F36+F37</f>
        <v>-18147.401201340388</v>
      </c>
      <c r="G38" s="245">
        <f t="shared" si="4"/>
        <v>-2258.8883643442623</v>
      </c>
      <c r="H38" s="245">
        <f>H35+H36+H37</f>
        <v>-3154.1582958511121</v>
      </c>
      <c r="I38" s="245">
        <f t="shared" si="4"/>
        <v>-5279.0809670839881</v>
      </c>
      <c r="J38" s="245">
        <f t="shared" si="4"/>
        <v>-6102.6459670839886</v>
      </c>
      <c r="K38" s="245">
        <f t="shared" si="4"/>
        <v>-5748.134520727599</v>
      </c>
      <c r="L38" s="245">
        <f t="shared" si="4"/>
        <v>-5903.5422577868849</v>
      </c>
      <c r="M38" s="245">
        <f t="shared" si="4"/>
        <v>-1594.1961288934426</v>
      </c>
      <c r="N38" s="245">
        <f t="shared" si="4"/>
        <v>0</v>
      </c>
    </row>
    <row r="39" spans="2:14"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</row>
    <row r="40" spans="2:14" ht="15.75">
      <c r="B40" s="62" t="str">
        <f>CONCATENATE(справочник!A73," ",справочник!A75,справочник!B73)</f>
        <v>Инвестиционная оценка (ставка дисконтирования  18%)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</row>
    <row r="41" spans="2:14">
      <c r="B41" s="369" t="s">
        <v>91</v>
      </c>
      <c r="C41" s="369" t="s">
        <v>63</v>
      </c>
      <c r="D41" s="369" t="s">
        <v>71</v>
      </c>
      <c r="E41" s="370" t="s">
        <v>92</v>
      </c>
      <c r="F41" s="369">
        <f>F7</f>
        <v>2026</v>
      </c>
      <c r="G41" s="369">
        <f t="shared" ref="G41:N41" si="5">G7</f>
        <v>2027</v>
      </c>
      <c r="H41" s="369">
        <f t="shared" si="5"/>
        <v>2028</v>
      </c>
      <c r="I41" s="369">
        <f t="shared" si="5"/>
        <v>2029</v>
      </c>
      <c r="J41" s="369">
        <f t="shared" si="5"/>
        <v>2030</v>
      </c>
      <c r="K41" s="369">
        <f t="shared" si="5"/>
        <v>2031</v>
      </c>
      <c r="L41" s="369">
        <f t="shared" si="5"/>
        <v>2032</v>
      </c>
      <c r="M41" s="369">
        <f t="shared" si="5"/>
        <v>2033</v>
      </c>
      <c r="N41" s="369">
        <f t="shared" si="5"/>
        <v>2034</v>
      </c>
    </row>
    <row r="42" spans="2:14">
      <c r="B42" s="369"/>
      <c r="C42" s="369"/>
      <c r="D42" s="369"/>
      <c r="E42" s="370"/>
      <c r="F42" s="369"/>
      <c r="G42" s="369"/>
      <c r="H42" s="369"/>
      <c r="I42" s="369"/>
      <c r="J42" s="369"/>
      <c r="K42" s="369"/>
      <c r="L42" s="369"/>
      <c r="M42" s="369"/>
      <c r="N42" s="369"/>
    </row>
    <row r="43" spans="2:14">
      <c r="B43" s="242" t="s">
        <v>286</v>
      </c>
      <c r="C43" s="244" t="s">
        <v>29</v>
      </c>
      <c r="D43" s="245">
        <f>SUMIF($F$10:$N$10,1,F43:N43)</f>
        <v>-47201.061401741797</v>
      </c>
      <c r="E43" s="245">
        <f>SUMIF($F$9:$N$9,1,F43:N43)</f>
        <v>-39703.323015061469</v>
      </c>
      <c r="F43" s="246">
        <f>F35+F36</f>
        <v>-22939.182023258196</v>
      </c>
      <c r="G43" s="246">
        <f t="shared" ref="G43:N43" si="6">G35+G36</f>
        <v>-2008.8883643442623</v>
      </c>
      <c r="H43" s="246">
        <f t="shared" si="6"/>
        <v>-2903.4733643442628</v>
      </c>
      <c r="I43" s="246">
        <f t="shared" si="6"/>
        <v>-3205.1083643442626</v>
      </c>
      <c r="J43" s="246">
        <f t="shared" si="6"/>
        <v>-3528.6733643442631</v>
      </c>
      <c r="K43" s="246">
        <f t="shared" si="6"/>
        <v>-5117.9975344262293</v>
      </c>
      <c r="L43" s="246">
        <f t="shared" si="6"/>
        <v>-5903.5422577868849</v>
      </c>
      <c r="M43" s="246">
        <f t="shared" si="6"/>
        <v>-1594.1961288934426</v>
      </c>
      <c r="N43" s="246">
        <f t="shared" si="6"/>
        <v>0</v>
      </c>
    </row>
    <row r="44" spans="2:14">
      <c r="B44" s="242" t="s">
        <v>287</v>
      </c>
      <c r="C44" s="244" t="s">
        <v>29</v>
      </c>
      <c r="D44" s="245">
        <f>SUMIF($F$10:$N$10,1,F44:N44)</f>
        <v>-35422.07772713968</v>
      </c>
      <c r="E44" s="245">
        <f>SUMIF($F$9:$N$9,1,F44:N44)</f>
        <v>-32734.761409289862</v>
      </c>
      <c r="F44" s="246">
        <f>F43</f>
        <v>-22939.182023258196</v>
      </c>
      <c r="G44" s="246">
        <f>NPV(Предпосылки!$C$375,выводы!G43)</f>
        <v>-1702.4477663934426</v>
      </c>
      <c r="H44" s="246">
        <f>NPV(Предпосылки!$C$375,,выводы!H43)</f>
        <v>-2085.2293624994709</v>
      </c>
      <c r="I44" s="246">
        <f>NPV(Предпосылки!$C$375,,,выводы!I43)</f>
        <v>-1950.7279008225421</v>
      </c>
      <c r="J44" s="246">
        <f>NPV(Предпосылки!$C$375,,,,выводы!J43)</f>
        <v>-1820.0504653737435</v>
      </c>
      <c r="K44" s="246">
        <f>NPV(Предпосылки!$C$375,,,,,выводы!K43)</f>
        <v>-2237.1238909424687</v>
      </c>
      <c r="L44" s="246">
        <f>NPV(Предпосылки!$C$375,,,,,,выводы!L43)</f>
        <v>-2186.8582451564553</v>
      </c>
      <c r="M44" s="246">
        <f>NPV(Предпосылки!$C$375,,,,,,,выводы!M43)</f>
        <v>-500.45807269336689</v>
      </c>
      <c r="N44" s="246">
        <f>NPV(Предпосылки!$C$375,,,,,,,,выводы!N43)</f>
        <v>0</v>
      </c>
    </row>
    <row r="45" spans="2:14" outlineLevel="1">
      <c r="B45" s="242" t="s">
        <v>445</v>
      </c>
      <c r="C45" s="244" t="s">
        <v>29</v>
      </c>
      <c r="D45" s="245" t="s">
        <v>392</v>
      </c>
      <c r="E45" s="245" t="s">
        <v>392</v>
      </c>
      <c r="F45" s="246">
        <f>F43</f>
        <v>-22939.182023258196</v>
      </c>
      <c r="G45" s="246">
        <f>IF(G43=0,0,F45+G43)</f>
        <v>-24948.070387602456</v>
      </c>
      <c r="H45" s="246">
        <f t="shared" ref="H45:M45" si="7">IF(H43=0,0,G45+H43)</f>
        <v>-27851.54375194672</v>
      </c>
      <c r="I45" s="246">
        <f t="shared" si="7"/>
        <v>-31056.652116290981</v>
      </c>
      <c r="J45" s="246">
        <f t="shared" si="7"/>
        <v>-34585.325480635242</v>
      </c>
      <c r="K45" s="246">
        <f t="shared" si="7"/>
        <v>-39703.323015061469</v>
      </c>
      <c r="L45" s="246">
        <f t="shared" si="7"/>
        <v>-45606.865272848358</v>
      </c>
      <c r="M45" s="246">
        <f t="shared" si="7"/>
        <v>-47201.061401741797</v>
      </c>
      <c r="N45" s="246">
        <f>IF(N43=0,0,M45+N43)</f>
        <v>0</v>
      </c>
    </row>
    <row r="46" spans="2:14" outlineLevel="1">
      <c r="B46" s="242"/>
      <c r="C46" s="244"/>
      <c r="D46" s="245"/>
      <c r="E46" s="245"/>
      <c r="F46" s="246">
        <f>IF(F45&lt;0,4,0)</f>
        <v>4</v>
      </c>
      <c r="G46" s="267">
        <f>IF(IF(G45&lt;0,12,ROUND(F45*-1/(G43/12),0))&lt;0,0,IF(G45&lt;0,12,ROUND(F45*-1/(G43/12),0)))</f>
        <v>12</v>
      </c>
      <c r="H46" s="267">
        <f t="shared" ref="H46:M46" si="8">IF(IF(H45&lt;0,12,ROUND(G45*-1/(H43/12),0))&lt;0,0,IF(H45&lt;0,12,ROUND(G45*-1/(H43/12),0)))</f>
        <v>12</v>
      </c>
      <c r="I46" s="267">
        <f t="shared" si="8"/>
        <v>12</v>
      </c>
      <c r="J46" s="267">
        <f t="shared" si="8"/>
        <v>12</v>
      </c>
      <c r="K46" s="267">
        <f t="shared" si="8"/>
        <v>12</v>
      </c>
      <c r="L46" s="267">
        <f t="shared" si="8"/>
        <v>12</v>
      </c>
      <c r="M46" s="267">
        <f t="shared" si="8"/>
        <v>12</v>
      </c>
      <c r="N46" s="267"/>
    </row>
    <row r="47" spans="2:14" outlineLevel="1">
      <c r="B47" s="242" t="s">
        <v>439</v>
      </c>
      <c r="C47" s="244" t="s">
        <v>29</v>
      </c>
      <c r="D47" s="245" t="s">
        <v>392</v>
      </c>
      <c r="E47" s="245" t="s">
        <v>392</v>
      </c>
      <c r="F47" s="246">
        <f>F44</f>
        <v>-22939.182023258196</v>
      </c>
      <c r="G47" s="246">
        <f>IF(G43=0,0,F47+G44)</f>
        <v>-24641.629789651637</v>
      </c>
      <c r="H47" s="246">
        <f t="shared" ref="H47:N47" si="9">IF(H43=0,0,G47+H44)</f>
        <v>-26726.859152151108</v>
      </c>
      <c r="I47" s="246">
        <f t="shared" si="9"/>
        <v>-28677.587052973649</v>
      </c>
      <c r="J47" s="246">
        <f t="shared" si="9"/>
        <v>-30497.637518347394</v>
      </c>
      <c r="K47" s="246">
        <f t="shared" si="9"/>
        <v>-32734.761409289862</v>
      </c>
      <c r="L47" s="246">
        <f t="shared" si="9"/>
        <v>-34921.619654446316</v>
      </c>
      <c r="M47" s="246">
        <f t="shared" si="9"/>
        <v>-35422.07772713968</v>
      </c>
      <c r="N47" s="246">
        <f t="shared" si="9"/>
        <v>0</v>
      </c>
    </row>
    <row r="48" spans="2:14" outlineLevel="1">
      <c r="B48" s="242"/>
      <c r="C48" s="244"/>
      <c r="D48" s="245"/>
      <c r="E48" s="245"/>
      <c r="F48" s="246">
        <f>IF(F47&lt;0,4,0)</f>
        <v>4</v>
      </c>
      <c r="G48" s="267">
        <f>IF(IF(G47&lt;0,12,ROUND(F47*-1/(G44/12),0))&lt;0,0,IF(G47&lt;0,12,ROUND(F47*-1/(G44/12),0)))</f>
        <v>12</v>
      </c>
      <c r="H48" s="267">
        <f t="shared" ref="H48:M48" si="10">IF(IF(H47&lt;0,12,ROUND(G47*-1/(H44/12),0))&lt;0,0,IF(H47&lt;0,12,ROUND(G47*-1/(H44/12),0)))</f>
        <v>12</v>
      </c>
      <c r="I48" s="267">
        <f t="shared" si="10"/>
        <v>12</v>
      </c>
      <c r="J48" s="267">
        <f t="shared" si="10"/>
        <v>12</v>
      </c>
      <c r="K48" s="267">
        <f t="shared" si="10"/>
        <v>12</v>
      </c>
      <c r="L48" s="267">
        <f t="shared" si="10"/>
        <v>12</v>
      </c>
      <c r="M48" s="267">
        <f t="shared" si="10"/>
        <v>12</v>
      </c>
      <c r="N48" s="246"/>
    </row>
    <row r="49" spans="2:14" outlineLevel="1">
      <c r="B49" s="242"/>
      <c r="C49" s="244"/>
      <c r="D49" s="268"/>
      <c r="E49" s="245">
        <f>-Предпосылки!C365</f>
        <v>-17072.773000000001</v>
      </c>
      <c r="F49" s="246">
        <f>F43</f>
        <v>-22939.182023258196</v>
      </c>
      <c r="G49" s="246">
        <f t="shared" ref="G49:N49" si="11">G43</f>
        <v>-2008.8883643442623</v>
      </c>
      <c r="H49" s="246">
        <f t="shared" si="11"/>
        <v>-2903.4733643442628</v>
      </c>
      <c r="I49" s="246">
        <f t="shared" si="11"/>
        <v>-3205.1083643442626</v>
      </c>
      <c r="J49" s="246">
        <f t="shared" si="11"/>
        <v>-3528.6733643442631</v>
      </c>
      <c r="K49" s="246">
        <f t="shared" si="11"/>
        <v>-5117.9975344262293</v>
      </c>
      <c r="L49" s="246">
        <f t="shared" si="11"/>
        <v>-5903.5422577868849</v>
      </c>
      <c r="M49" s="246">
        <f t="shared" si="11"/>
        <v>-1594.1961288934426</v>
      </c>
      <c r="N49" s="246">
        <f t="shared" si="11"/>
        <v>0</v>
      </c>
    </row>
    <row r="50" spans="2:14" outlineLevel="1">
      <c r="B50" s="242"/>
      <c r="C50" s="244"/>
      <c r="D50" s="245"/>
      <c r="E50" s="245"/>
      <c r="F50" s="246"/>
      <c r="G50" s="246"/>
      <c r="H50" s="246"/>
      <c r="I50" s="246"/>
      <c r="J50" s="246"/>
      <c r="K50" s="246"/>
      <c r="L50" s="246"/>
      <c r="M50" s="246"/>
      <c r="N50" s="246"/>
    </row>
    <row r="51" spans="2:14">
      <c r="B51" s="216" t="s">
        <v>451</v>
      </c>
      <c r="C51" s="217"/>
      <c r="D51" s="240"/>
      <c r="E51" s="240"/>
      <c r="F51" s="218"/>
      <c r="G51" s="218"/>
      <c r="H51" s="218"/>
      <c r="I51" s="218"/>
      <c r="J51" s="218"/>
      <c r="K51" s="218"/>
      <c r="L51" s="218"/>
      <c r="M51" s="218"/>
      <c r="N51" s="218"/>
    </row>
    <row r="52" spans="2:14">
      <c r="B52" s="270">
        <f>C52-1</f>
        <v>2025</v>
      </c>
      <c r="C52" s="217">
        <f>F41</f>
        <v>2026</v>
      </c>
      <c r="D52" s="217">
        <f t="shared" ref="D52:K52" si="12">G41</f>
        <v>2027</v>
      </c>
      <c r="E52" s="217">
        <f t="shared" si="12"/>
        <v>2028</v>
      </c>
      <c r="F52" s="217">
        <f t="shared" si="12"/>
        <v>2029</v>
      </c>
      <c r="G52" s="217">
        <f t="shared" si="12"/>
        <v>2030</v>
      </c>
      <c r="H52" s="217">
        <f t="shared" si="12"/>
        <v>2031</v>
      </c>
      <c r="I52" s="217">
        <f t="shared" si="12"/>
        <v>2032</v>
      </c>
      <c r="J52" s="217">
        <f t="shared" si="12"/>
        <v>2033</v>
      </c>
      <c r="K52" s="217">
        <f t="shared" si="12"/>
        <v>2034</v>
      </c>
      <c r="L52" s="217"/>
      <c r="M52" s="218"/>
      <c r="N52" s="218"/>
    </row>
    <row r="53" spans="2:14">
      <c r="B53" s="271">
        <f>E49</f>
        <v>-17072.773000000001</v>
      </c>
      <c r="C53" s="217">
        <f>F44</f>
        <v>-22939.182023258196</v>
      </c>
      <c r="D53" s="217">
        <f t="shared" ref="D53:K53" si="13">G44</f>
        <v>-1702.4477663934426</v>
      </c>
      <c r="E53" s="217">
        <f t="shared" si="13"/>
        <v>-2085.2293624994709</v>
      </c>
      <c r="F53" s="217">
        <f t="shared" si="13"/>
        <v>-1950.7279008225421</v>
      </c>
      <c r="G53" s="217">
        <f t="shared" si="13"/>
        <v>-1820.0504653737435</v>
      </c>
      <c r="H53" s="217">
        <f t="shared" si="13"/>
        <v>-2237.1238909424687</v>
      </c>
      <c r="I53" s="217">
        <f t="shared" si="13"/>
        <v>-2186.8582451564553</v>
      </c>
      <c r="J53" s="217">
        <f t="shared" si="13"/>
        <v>-500.45807269336689</v>
      </c>
      <c r="K53" s="217">
        <f t="shared" si="13"/>
        <v>0</v>
      </c>
      <c r="L53" s="218"/>
      <c r="M53" s="218"/>
      <c r="N53" s="218"/>
    </row>
    <row r="54" spans="2:14">
      <c r="B54" s="271">
        <f>B53</f>
        <v>-17072.773000000001</v>
      </c>
      <c r="C54" s="217">
        <f>B54+C53</f>
        <v>-40011.955023258197</v>
      </c>
      <c r="D54" s="217">
        <f t="shared" ref="D54:K54" si="14">C54+D53</f>
        <v>-41714.402789651642</v>
      </c>
      <c r="E54" s="217">
        <f t="shared" si="14"/>
        <v>-43799.632152151113</v>
      </c>
      <c r="F54" s="217">
        <f t="shared" si="14"/>
        <v>-45750.360052973658</v>
      </c>
      <c r="G54" s="217">
        <f t="shared" si="14"/>
        <v>-47570.410518347402</v>
      </c>
      <c r="H54" s="217">
        <f t="shared" si="14"/>
        <v>-49807.534409289874</v>
      </c>
      <c r="I54" s="217">
        <f t="shared" si="14"/>
        <v>-51994.392654446332</v>
      </c>
      <c r="J54" s="217">
        <f t="shared" si="14"/>
        <v>-52494.850727139696</v>
      </c>
      <c r="K54" s="217">
        <f t="shared" si="14"/>
        <v>-52494.850727139696</v>
      </c>
      <c r="L54" s="218"/>
      <c r="M54" s="218"/>
      <c r="N54" s="218"/>
    </row>
    <row r="55" spans="2:14">
      <c r="B55" s="216"/>
      <c r="C55" s="217"/>
      <c r="D55" s="240"/>
      <c r="E55" s="240"/>
      <c r="F55" s="218"/>
      <c r="G55" s="218"/>
      <c r="H55" s="218"/>
      <c r="I55" s="218"/>
      <c r="J55" s="218"/>
      <c r="K55" s="218"/>
      <c r="L55" s="218"/>
      <c r="M55" s="218"/>
      <c r="N55" s="218"/>
    </row>
    <row r="56" spans="2:14">
      <c r="B56" s="216"/>
      <c r="C56" s="217"/>
      <c r="D56" s="240"/>
      <c r="E56" s="240"/>
      <c r="F56" s="218"/>
      <c r="G56" s="218"/>
      <c r="H56" s="218"/>
      <c r="I56" s="218"/>
      <c r="J56" s="218"/>
      <c r="K56" s="218"/>
      <c r="L56" s="218"/>
      <c r="M56" s="218"/>
      <c r="N56" s="218"/>
    </row>
    <row r="57" spans="2:14">
      <c r="B57" s="216"/>
      <c r="C57" s="217"/>
      <c r="D57" s="240"/>
      <c r="E57" s="240"/>
      <c r="F57" s="218"/>
      <c r="G57" s="218"/>
      <c r="H57" s="218"/>
      <c r="I57" s="218"/>
      <c r="J57" s="218"/>
      <c r="K57" s="218"/>
      <c r="L57" s="218"/>
      <c r="M57" s="218"/>
      <c r="N57" s="218"/>
    </row>
    <row r="58" spans="2:14">
      <c r="B58" s="216"/>
      <c r="C58" s="217"/>
      <c r="D58" s="240"/>
      <c r="E58" s="240"/>
      <c r="F58" s="218"/>
      <c r="G58" s="218"/>
      <c r="H58" s="218"/>
      <c r="I58" s="218"/>
      <c r="J58" s="218"/>
      <c r="K58" s="218"/>
      <c r="L58" s="218"/>
      <c r="M58" s="218"/>
      <c r="N58" s="218"/>
    </row>
    <row r="59" spans="2:14">
      <c r="B59" s="216"/>
      <c r="C59" s="217"/>
      <c r="D59" s="240"/>
      <c r="E59" s="240"/>
      <c r="F59" s="218"/>
      <c r="G59" s="218"/>
      <c r="H59" s="218"/>
      <c r="I59" s="218"/>
      <c r="J59" s="218"/>
      <c r="K59" s="218"/>
      <c r="L59" s="218"/>
      <c r="M59" s="218"/>
      <c r="N59" s="218"/>
    </row>
    <row r="60" spans="2:14">
      <c r="B60" s="216"/>
      <c r="C60" s="217"/>
      <c r="D60" s="240"/>
      <c r="E60" s="240"/>
      <c r="F60" s="218"/>
      <c r="G60" s="218"/>
      <c r="H60" s="218"/>
      <c r="I60" s="218"/>
      <c r="J60" s="218"/>
      <c r="K60" s="218"/>
      <c r="L60" s="218"/>
      <c r="M60" s="218"/>
      <c r="N60" s="218"/>
    </row>
    <row r="61" spans="2:14">
      <c r="B61" s="216"/>
      <c r="C61" s="217"/>
      <c r="D61" s="240"/>
      <c r="E61" s="240"/>
      <c r="F61" s="218"/>
      <c r="G61" s="218"/>
      <c r="H61" s="218"/>
      <c r="I61" s="218"/>
      <c r="J61" s="218"/>
      <c r="K61" s="218"/>
      <c r="L61" s="218"/>
      <c r="M61" s="218"/>
      <c r="N61" s="218"/>
    </row>
    <row r="62" spans="2:14">
      <c r="B62" s="216"/>
      <c r="C62" s="217"/>
      <c r="D62" s="240"/>
      <c r="E62" s="240"/>
      <c r="F62" s="218"/>
      <c r="G62" s="218"/>
      <c r="H62" s="218"/>
      <c r="I62" s="218"/>
      <c r="J62" s="218"/>
      <c r="K62" s="218"/>
      <c r="L62" s="218"/>
      <c r="M62" s="218"/>
      <c r="N62" s="218"/>
    </row>
    <row r="63" spans="2:14">
      <c r="B63" s="216"/>
      <c r="C63" s="217"/>
      <c r="D63" s="240"/>
      <c r="E63" s="240"/>
      <c r="F63" s="218"/>
      <c r="G63" s="218"/>
      <c r="H63" s="218"/>
      <c r="I63" s="218"/>
      <c r="J63" s="218"/>
      <c r="K63" s="218"/>
      <c r="L63" s="218"/>
      <c r="M63" s="218"/>
      <c r="N63" s="218"/>
    </row>
    <row r="64" spans="2:14">
      <c r="B64" s="216"/>
      <c r="C64" s="217"/>
      <c r="D64" s="240"/>
      <c r="E64" s="240"/>
      <c r="F64" s="218"/>
      <c r="G64" s="218"/>
      <c r="H64" s="218"/>
      <c r="I64" s="218"/>
      <c r="J64" s="218"/>
      <c r="K64" s="218"/>
      <c r="L64" s="218"/>
      <c r="M64" s="218"/>
      <c r="N64" s="218"/>
    </row>
    <row r="65" spans="2:14">
      <c r="B65" s="216"/>
      <c r="C65" s="217"/>
      <c r="D65" s="240"/>
      <c r="E65" s="240"/>
      <c r="F65" s="218"/>
      <c r="G65" s="218"/>
      <c r="H65" s="218"/>
      <c r="I65" s="218"/>
      <c r="J65" s="218"/>
      <c r="K65" s="218"/>
      <c r="L65" s="218"/>
      <c r="M65" s="218"/>
      <c r="N65" s="218"/>
    </row>
    <row r="66" spans="2:14">
      <c r="B66" s="216"/>
      <c r="C66" s="217"/>
      <c r="D66" s="240"/>
      <c r="E66" s="240"/>
      <c r="F66" s="218"/>
      <c r="G66" s="218"/>
      <c r="H66" s="218"/>
      <c r="I66" s="218"/>
      <c r="J66" s="218"/>
      <c r="K66" s="218"/>
      <c r="L66" s="218"/>
      <c r="M66" s="218"/>
      <c r="N66" s="218"/>
    </row>
    <row r="67" spans="2:14">
      <c r="B67" s="216"/>
      <c r="C67" s="217"/>
      <c r="D67" s="240"/>
      <c r="E67" s="240"/>
      <c r="F67" s="218"/>
      <c r="G67" s="218"/>
      <c r="H67" s="218"/>
      <c r="I67" s="218"/>
      <c r="J67" s="218"/>
      <c r="K67" s="218"/>
      <c r="L67" s="218"/>
      <c r="M67" s="218"/>
      <c r="N67" s="218"/>
    </row>
    <row r="68" spans="2:14">
      <c r="B68" s="216"/>
      <c r="C68" s="217"/>
      <c r="D68" s="240"/>
      <c r="E68" s="240"/>
      <c r="F68" s="218"/>
      <c r="G68" s="218"/>
      <c r="H68" s="218"/>
      <c r="I68" s="218"/>
      <c r="J68" s="218"/>
      <c r="K68" s="218"/>
      <c r="L68" s="218"/>
      <c r="M68" s="218"/>
      <c r="N68" s="218"/>
    </row>
    <row r="69" spans="2:14">
      <c r="B69" s="216"/>
      <c r="C69" s="217"/>
      <c r="D69" s="240"/>
      <c r="E69" s="240"/>
      <c r="F69" s="218"/>
      <c r="G69" s="218"/>
      <c r="H69" s="218"/>
      <c r="I69" s="218"/>
      <c r="J69" s="218"/>
      <c r="K69" s="218"/>
      <c r="L69" s="218"/>
      <c r="M69" s="218"/>
      <c r="N69" s="218"/>
    </row>
    <row r="70" spans="2:14">
      <c r="B70" s="216"/>
      <c r="C70" s="217"/>
      <c r="D70" s="240"/>
      <c r="E70" s="240"/>
      <c r="F70" s="218"/>
      <c r="G70" s="218"/>
      <c r="H70" s="218"/>
      <c r="I70" s="218"/>
      <c r="J70" s="218"/>
      <c r="K70" s="218"/>
      <c r="L70" s="218"/>
      <c r="M70" s="218"/>
      <c r="N70" s="218"/>
    </row>
    <row r="71" spans="2:14">
      <c r="B71" s="216"/>
      <c r="C71" s="217"/>
      <c r="D71" s="240"/>
      <c r="E71" s="240"/>
      <c r="F71" s="218"/>
      <c r="G71" s="218"/>
      <c r="H71" s="218"/>
      <c r="I71" s="218"/>
      <c r="J71" s="218"/>
      <c r="K71" s="218"/>
      <c r="L71" s="218"/>
      <c r="M71" s="218"/>
      <c r="N71" s="218"/>
    </row>
    <row r="72" spans="2:14"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</row>
    <row r="73" spans="2:14" ht="30.75" customHeight="1">
      <c r="B73" s="369" t="s">
        <v>91</v>
      </c>
      <c r="C73" s="369" t="s">
        <v>63</v>
      </c>
      <c r="D73" s="370" t="s">
        <v>288</v>
      </c>
      <c r="E73" s="370"/>
      <c r="F73" s="370" t="s">
        <v>289</v>
      </c>
      <c r="G73" s="370"/>
      <c r="H73" s="216"/>
      <c r="I73" s="216"/>
      <c r="J73" s="216"/>
      <c r="K73" s="216"/>
      <c r="L73" s="216"/>
      <c r="M73" s="216"/>
      <c r="N73" s="216"/>
    </row>
    <row r="74" spans="2:14" ht="30">
      <c r="B74" s="369"/>
      <c r="C74" s="369"/>
      <c r="D74" s="249" t="s">
        <v>71</v>
      </c>
      <c r="E74" s="250" t="s">
        <v>92</v>
      </c>
      <c r="F74" s="249" t="s">
        <v>71</v>
      </c>
      <c r="G74" s="250" t="s">
        <v>92</v>
      </c>
      <c r="H74" s="216"/>
      <c r="I74" s="216"/>
      <c r="J74" s="216"/>
      <c r="K74" s="216"/>
      <c r="L74" s="216"/>
      <c r="M74" s="216"/>
      <c r="N74" s="216"/>
    </row>
    <row r="75" spans="2:14">
      <c r="B75" s="242" t="s">
        <v>290</v>
      </c>
      <c r="C75" s="244" t="s">
        <v>29</v>
      </c>
      <c r="D75" s="246">
        <f>F75-Предпосылки!C365</f>
        <v>-52494.850727139681</v>
      </c>
      <c r="E75" s="246">
        <f>G75-Предпосылки!C365</f>
        <v>-49807.534409289859</v>
      </c>
      <c r="F75" s="246">
        <f>D44</f>
        <v>-35422.07772713968</v>
      </c>
      <c r="G75" s="246">
        <f>E44</f>
        <v>-32734.761409289862</v>
      </c>
      <c r="H75" s="216"/>
      <c r="I75" s="216"/>
      <c r="J75" s="216"/>
      <c r="K75" s="216"/>
      <c r="L75" s="216"/>
      <c r="M75" s="216"/>
      <c r="N75" s="216"/>
    </row>
    <row r="76" spans="2:14" outlineLevel="1">
      <c r="B76" s="242" t="s">
        <v>291</v>
      </c>
      <c r="C76" s="251" t="s">
        <v>245</v>
      </c>
      <c r="D76" s="252"/>
      <c r="E76" s="252"/>
      <c r="F76" s="252"/>
      <c r="G76" s="252"/>
      <c r="H76" s="216"/>
      <c r="I76" s="216"/>
      <c r="J76" s="216"/>
      <c r="K76" s="216"/>
      <c r="L76" s="216"/>
      <c r="M76" s="216"/>
      <c r="N76" s="216"/>
    </row>
    <row r="77" spans="2:14">
      <c r="B77" s="242" t="s">
        <v>292</v>
      </c>
      <c r="C77" s="251" t="s">
        <v>293</v>
      </c>
      <c r="D77" s="253">
        <f>F77+2</f>
        <v>9.3333333333333321</v>
      </c>
      <c r="E77" s="253">
        <f>G77+2</f>
        <v>9.3333333333333321</v>
      </c>
      <c r="F77" s="253">
        <f>G77</f>
        <v>7.333333333333333</v>
      </c>
      <c r="G77" s="253">
        <f>SUM(F46:N46)/12</f>
        <v>7.333333333333333</v>
      </c>
      <c r="H77" s="216"/>
      <c r="I77" s="216"/>
      <c r="J77" s="216"/>
      <c r="K77" s="216"/>
      <c r="L77" s="216"/>
      <c r="M77" s="216"/>
      <c r="N77" s="216"/>
    </row>
    <row r="78" spans="2:14">
      <c r="B78" s="242" t="s">
        <v>294</v>
      </c>
      <c r="C78" s="251" t="s">
        <v>293</v>
      </c>
      <c r="D78" s="253">
        <f>F78+2</f>
        <v>9.3333333333333321</v>
      </c>
      <c r="E78" s="253">
        <f>G78+2</f>
        <v>9.3333333333333321</v>
      </c>
      <c r="F78" s="253">
        <f>G78</f>
        <v>7.333333333333333</v>
      </c>
      <c r="G78" s="253">
        <f>SUM(F48:N48)/12</f>
        <v>7.333333333333333</v>
      </c>
      <c r="H78" s="216"/>
      <c r="I78" s="216"/>
      <c r="J78" s="216"/>
      <c r="K78" s="216"/>
      <c r="L78" s="216"/>
      <c r="M78" s="216"/>
      <c r="N78" s="216"/>
    </row>
    <row r="79" spans="2:14"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</row>
    <row r="80" spans="2:14" ht="15.75">
      <c r="B80" s="62" t="s">
        <v>25</v>
      </c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</row>
    <row r="81" spans="2:14">
      <c r="B81" s="369" t="s">
        <v>91</v>
      </c>
      <c r="C81" s="369" t="s">
        <v>63</v>
      </c>
      <c r="D81" s="369" t="s">
        <v>71</v>
      </c>
      <c r="E81" s="370" t="s">
        <v>92</v>
      </c>
      <c r="F81" s="369">
        <f>F7</f>
        <v>2026</v>
      </c>
      <c r="G81" s="369">
        <f t="shared" ref="G81:N81" si="15">G7</f>
        <v>2027</v>
      </c>
      <c r="H81" s="369">
        <f t="shared" si="15"/>
        <v>2028</v>
      </c>
      <c r="I81" s="369">
        <f t="shared" si="15"/>
        <v>2029</v>
      </c>
      <c r="J81" s="369">
        <f t="shared" si="15"/>
        <v>2030</v>
      </c>
      <c r="K81" s="369">
        <f t="shared" si="15"/>
        <v>2031</v>
      </c>
      <c r="L81" s="369">
        <f t="shared" si="15"/>
        <v>2032</v>
      </c>
      <c r="M81" s="369">
        <f t="shared" si="15"/>
        <v>2033</v>
      </c>
      <c r="N81" s="369">
        <f t="shared" si="15"/>
        <v>2034</v>
      </c>
    </row>
    <row r="82" spans="2:14">
      <c r="B82" s="369"/>
      <c r="C82" s="369"/>
      <c r="D82" s="369"/>
      <c r="E82" s="370"/>
      <c r="F82" s="369"/>
      <c r="G82" s="369"/>
      <c r="H82" s="369"/>
      <c r="I82" s="369"/>
      <c r="J82" s="369"/>
      <c r="K82" s="369"/>
      <c r="L82" s="369"/>
      <c r="M82" s="369"/>
      <c r="N82" s="369"/>
    </row>
    <row r="83" spans="2:14">
      <c r="B83" s="242" t="s">
        <v>444</v>
      </c>
      <c r="C83" s="244" t="s">
        <v>29</v>
      </c>
      <c r="D83" s="245">
        <f t="shared" ref="D83:D86" si="16">SUMIF($F$10:$N$10,1,F83:N83)</f>
        <v>0</v>
      </c>
      <c r="E83" s="245">
        <f t="shared" ref="E83:E86" si="17">SUMIF($F$9:$N$9,1,F83:N83)</f>
        <v>0</v>
      </c>
      <c r="F83" s="246">
        <f>'Годовая отчетность'!F16/(1+IF(ISERROR(VLOOKUP(Предпосылки!$C$16,справочник!$A$28:$D$36,4,FALSE))=TRUE,0,VLOOKUP(Предпосылки!$C$16,справочник!$A$28:$D$36,4,FALSE)))</f>
        <v>0</v>
      </c>
      <c r="G83" s="246">
        <f>'Годовая отчетность'!G16/(1+IF(ISERROR(VLOOKUP(Предпосылки!$C$16,справочник!$A$28:$D$36,4,FALSE))=TRUE,0,VLOOKUP(Предпосылки!$C$16,справочник!$A$28:$D$36,4,FALSE)))</f>
        <v>0</v>
      </c>
      <c r="H83" s="246">
        <f>'Годовая отчетность'!H16/(1+IF(ISERROR(VLOOKUP(Предпосылки!$C$16,справочник!$A$28:$D$36,4,FALSE))=TRUE,0,VLOOKUP(Предпосылки!$C$16,справочник!$A$28:$D$36,4,FALSE)))</f>
        <v>0</v>
      </c>
      <c r="I83" s="246">
        <f>'Годовая отчетность'!I16/(1+IF(ISERROR(VLOOKUP(Предпосылки!$C$16,справочник!$A$28:$D$36,4,FALSE))=TRUE,0,VLOOKUP(Предпосылки!$C$16,справочник!$A$28:$D$36,4,FALSE)))</f>
        <v>0</v>
      </c>
      <c r="J83" s="246">
        <f>'Годовая отчетность'!J16/(1+IF(ISERROR(VLOOKUP(Предпосылки!$C$16,справочник!$A$28:$D$36,4,FALSE))=TRUE,0,VLOOKUP(Предпосылки!$C$16,справочник!$A$28:$D$36,4,FALSE)))</f>
        <v>0</v>
      </c>
      <c r="K83" s="246">
        <f>'Годовая отчетность'!K16/(1+IF(ISERROR(VLOOKUP(Предпосылки!$C$16,справочник!$A$28:$D$36,4,FALSE))=TRUE,0,VLOOKUP(Предпосылки!$C$16,справочник!$A$28:$D$36,4,FALSE)))</f>
        <v>0</v>
      </c>
      <c r="L83" s="246">
        <f>'Годовая отчетность'!L16/(1+IF(ISERROR(VLOOKUP(Предпосылки!$C$16,справочник!$A$28:$D$36,4,FALSE))=TRUE,0,VLOOKUP(Предпосылки!$C$16,справочник!$A$28:$D$36,4,FALSE)))</f>
        <v>0</v>
      </c>
      <c r="M83" s="246">
        <f>'Годовая отчетность'!M16/(1+IF(ISERROR(VLOOKUP(Предпосылки!$C$16,справочник!$A$28:$D$36,4,FALSE))=TRUE,0,VLOOKUP(Предпосылки!$C$16,справочник!$A$28:$D$36,4,FALSE)))</f>
        <v>0</v>
      </c>
      <c r="N83" s="246">
        <f>'Годовая отчетность'!N16/(1+IF(ISERROR(VLOOKUP(Предпосылки!$C$16,справочник!$A$28:$D$36,4,FALSE))=TRUE,0,VLOOKUP(Предпосылки!$C$16,справочник!$A$28:$D$36,4,FALSE)))</f>
        <v>0</v>
      </c>
    </row>
    <row r="84" spans="2:14">
      <c r="B84" s="242" t="s">
        <v>94</v>
      </c>
      <c r="C84" s="244" t="s">
        <v>29</v>
      </c>
      <c r="D84" s="245">
        <f t="shared" si="16"/>
        <v>-17511.458598258196</v>
      </c>
      <c r="E84" s="245">
        <f t="shared" si="17"/>
        <v>-16491.946984938524</v>
      </c>
      <c r="F84" s="246">
        <f>-('Годовая отчетность'!F23+'Годовая отчетность'!F24+'Годовая отчетность'!F25+'Годовая отчетность'!F26+'Годовая отчетность'!F17)</f>
        <v>-5048.8679767418053</v>
      </c>
      <c r="G84" s="246">
        <f>-('Годовая отчетность'!G23+'Годовая отчетность'!G24+'Годовая отчетность'!G25+'Годовая отчетность'!G26+'Годовая отчетность'!G17)</f>
        <v>-2912.2916356557375</v>
      </c>
      <c r="H84" s="246">
        <f>-('Годовая отчетность'!H23+'Годовая отчетность'!H24+'Годовая отчетность'!H25+'Годовая отчетность'!H26+'Годовая отчетность'!H17)</f>
        <v>-2375.7766356557368</v>
      </c>
      <c r="I84" s="246">
        <f>-('Годовая отчетность'!I23+'Годовая отчетность'!I24+'Годовая отчетность'!I25+'Годовая отчетность'!I26+'Годовая отчетность'!I17)</f>
        <v>-2433.3516356557379</v>
      </c>
      <c r="J84" s="246">
        <f>-('Годовая отчетность'!J23+'Годовая отчетность'!J24+'Годовая отчетность'!J25+'Годовая отчетность'!J26+'Годовая отчетность'!J17)</f>
        <v>-2495.1466356557376</v>
      </c>
      <c r="K84" s="246">
        <f>-('Годовая отчетность'!K23+'Годовая отчетность'!K24+'Годовая отчетность'!K25+'Годовая отчетность'!K26+'Годовая отчетность'!K17)</f>
        <v>-1226.5124655737707</v>
      </c>
      <c r="L84" s="246">
        <f>-('Годовая отчетность'!L23+'Годовая отчетность'!L24+'Годовая отчетность'!L25+'Годовая отчетность'!L26+'Годовая отчетность'!L17)</f>
        <v>-852.52774221311495</v>
      </c>
      <c r="M84" s="246">
        <f>-('Годовая отчетность'!M23+'Годовая отчетность'!M24+'Годовая отчетность'!M25+'Годовая отчетность'!M26+'Годовая отчетность'!M17)</f>
        <v>-166.98387110655736</v>
      </c>
      <c r="N84" s="246">
        <f>-('Годовая отчетность'!N23+'Годовая отчетность'!N24+'Годовая отчетность'!N25+'Годовая отчетность'!N26+'Годовая отчетность'!N17)</f>
        <v>0</v>
      </c>
    </row>
    <row r="85" spans="2:14">
      <c r="B85" s="242" t="s">
        <v>295</v>
      </c>
      <c r="C85" s="244" t="s">
        <v>29</v>
      </c>
      <c r="D85" s="245">
        <f t="shared" si="16"/>
        <v>0</v>
      </c>
      <c r="E85" s="245">
        <f t="shared" si="17"/>
        <v>0</v>
      </c>
      <c r="F85" s="246">
        <f>SUMIF(Предпосылки!$D$332:$AG$332,F81,Предпосылки!$D$334:$AG$334)+SUMIF(Предпосылки!$D$332:$AG$332,F81,Предпосылки!$D$335:$AG$335)</f>
        <v>0</v>
      </c>
      <c r="G85" s="246">
        <f>SUMIF(Предпосылки!$D$332:$AG$332,G81,Предпосылки!$D$334:$AG$334)+SUMIF(Предпосылки!$D$332:$AG$332,G81,Предпосылки!$D$335:$AG$335)</f>
        <v>0</v>
      </c>
      <c r="H85" s="246">
        <f>SUMIF(Предпосылки!$D$332:$AG$332,H81,Предпосылки!$D$334:$AG$334)+SUMIF(Предпосылки!$D$332:$AG$332,H81,Предпосылки!$D$335:$AG$335)</f>
        <v>0</v>
      </c>
      <c r="I85" s="246">
        <f>SUMIF(Предпосылки!$D$332:$AG$332,I81,Предпосылки!$D$334:$AG$334)+SUMIF(Предпосылки!$D$332:$AG$332,I81,Предпосылки!$D$335:$AG$335)</f>
        <v>0</v>
      </c>
      <c r="J85" s="246">
        <f>SUMIF(Предпосылки!$D$332:$AG$332,J81,Предпосылки!$D$334:$AG$334)+SUMIF(Предпосылки!$D$332:$AG$332,J81,Предпосылки!$D$335:$AG$335)</f>
        <v>0</v>
      </c>
      <c r="K85" s="246">
        <f>SUMIF(Предпосылки!$D$332:$AG$332,K81,Предпосылки!$D$334:$AG$334)+SUMIF(Предпосылки!$D$332:$AG$332,K81,Предпосылки!$D$335:$AG$335)</f>
        <v>0</v>
      </c>
      <c r="L85" s="246">
        <f>SUMIF(Предпосылки!$D$332:$AG$332,L81,Предпосылки!$D$334:$AG$334)+SUMIF(Предпосылки!$D$332:$AG$332,L81,Предпосылки!$D$335:$AG$335)</f>
        <v>0</v>
      </c>
      <c r="M85" s="246">
        <f>SUMIF(Предпосылки!$D$332:$AG$332,M81,Предпосылки!$D$334:$AG$334)+SUMIF(Предпосылки!$D$332:$AG$332,M81,Предпосылки!$D$335:$AG$335)</f>
        <v>0</v>
      </c>
      <c r="N85" s="246">
        <f>SUMIF(Предпосылки!$D$332:$AG$332,N81,Предпосылки!$D$334:$AG$334)+SUMIF(Предпосылки!$D$332:$AG$332,N81,Предпосылки!$D$335:$AG$335)</f>
        <v>0</v>
      </c>
    </row>
    <row r="86" spans="2:14">
      <c r="B86" s="242" t="s">
        <v>95</v>
      </c>
      <c r="C86" s="251" t="s">
        <v>96</v>
      </c>
      <c r="D86" s="245">
        <f t="shared" si="16"/>
        <v>6</v>
      </c>
      <c r="E86" s="245">
        <f t="shared" si="17"/>
        <v>6</v>
      </c>
      <c r="F86" s="246">
        <f>Предпосылки!C316</f>
        <v>0</v>
      </c>
      <c r="G86" s="246">
        <f>Предпосылки!D316</f>
        <v>6</v>
      </c>
      <c r="H86" s="246">
        <f>Предпосылки!E316</f>
        <v>0</v>
      </c>
      <c r="I86" s="246">
        <f>Предпосылки!F316</f>
        <v>0</v>
      </c>
      <c r="J86" s="246">
        <f>Предпосылки!G316</f>
        <v>0</v>
      </c>
      <c r="K86" s="246">
        <f>Предпосылки!H316</f>
        <v>0</v>
      </c>
      <c r="L86" s="246">
        <f>Предпосылки!I316</f>
        <v>0</v>
      </c>
      <c r="M86" s="246">
        <f>Предпосылки!J316</f>
        <v>0</v>
      </c>
      <c r="N86" s="246">
        <f>Предпосылки!K316</f>
        <v>0</v>
      </c>
    </row>
    <row r="87" spans="2:14"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</row>
    <row r="88" spans="2:14" ht="15.75">
      <c r="B88" s="62" t="s">
        <v>296</v>
      </c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</row>
    <row r="89" spans="2:14">
      <c r="B89" s="369" t="s">
        <v>62</v>
      </c>
      <c r="C89" s="369" t="s">
        <v>63</v>
      </c>
      <c r="D89" s="369" t="s">
        <v>71</v>
      </c>
      <c r="E89" s="369" t="s">
        <v>204</v>
      </c>
      <c r="F89" s="370" t="s">
        <v>202</v>
      </c>
      <c r="G89" s="370" t="s">
        <v>297</v>
      </c>
      <c r="H89" s="60"/>
      <c r="I89" s="60"/>
      <c r="J89" s="60"/>
      <c r="K89" s="60"/>
      <c r="L89" s="60"/>
      <c r="M89" s="60"/>
      <c r="N89" s="60"/>
    </row>
    <row r="90" spans="2:14" ht="32.25" customHeight="1">
      <c r="B90" s="369"/>
      <c r="C90" s="369"/>
      <c r="D90" s="369"/>
      <c r="E90" s="369"/>
      <c r="F90" s="370"/>
      <c r="G90" s="370"/>
      <c r="H90" s="60"/>
      <c r="I90" s="60"/>
      <c r="J90" s="60"/>
      <c r="K90" s="60"/>
      <c r="L90" s="60"/>
      <c r="M90" s="60"/>
      <c r="N90" s="60"/>
    </row>
    <row r="91" spans="2:14">
      <c r="B91" s="242" t="s">
        <v>298</v>
      </c>
      <c r="C91" s="244" t="s">
        <v>29</v>
      </c>
      <c r="D91" s="248">
        <f>Предпосылки!E361</f>
        <v>17072.773000000001</v>
      </c>
      <c r="E91" s="254">
        <f>D91/$D$95</f>
        <v>0.7734765813067529</v>
      </c>
      <c r="F91" s="244">
        <f>Предпосылки!C361</f>
        <v>17072.773000000001</v>
      </c>
      <c r="G91" s="244">
        <f>Предпосылки!D361</f>
        <v>0</v>
      </c>
      <c r="H91" s="129"/>
      <c r="I91" s="60"/>
      <c r="J91" s="60"/>
      <c r="K91" s="60"/>
      <c r="L91" s="60"/>
      <c r="M91" s="60"/>
      <c r="N91" s="60"/>
    </row>
    <row r="92" spans="2:14">
      <c r="B92" s="242" t="s">
        <v>299</v>
      </c>
      <c r="C92" s="244" t="s">
        <v>29</v>
      </c>
      <c r="D92" s="248">
        <f>Предпосылки!E362</f>
        <v>0</v>
      </c>
      <c r="E92" s="254">
        <f t="shared" ref="E92:E94" si="18">D92/$D$95</f>
        <v>0</v>
      </c>
      <c r="F92" s="244">
        <f>Предпосылки!C362</f>
        <v>0</v>
      </c>
      <c r="G92" s="244">
        <f>Предпосылки!D362</f>
        <v>0</v>
      </c>
      <c r="H92" s="60"/>
      <c r="I92" s="60"/>
      <c r="J92" s="60"/>
      <c r="K92" s="60"/>
      <c r="L92" s="60"/>
      <c r="M92" s="60"/>
      <c r="N92" s="60"/>
    </row>
    <row r="93" spans="2:14">
      <c r="B93" s="242" t="s">
        <v>300</v>
      </c>
      <c r="C93" s="244" t="s">
        <v>29</v>
      </c>
      <c r="D93" s="248">
        <f>Предпосылки!E363</f>
        <v>0</v>
      </c>
      <c r="E93" s="254">
        <f t="shared" si="18"/>
        <v>0</v>
      </c>
      <c r="F93" s="244">
        <f>Предпосылки!C363</f>
        <v>0</v>
      </c>
      <c r="G93" s="244">
        <f>Предпосылки!D363</f>
        <v>0</v>
      </c>
      <c r="H93" s="60"/>
      <c r="I93" s="60"/>
      <c r="J93" s="60"/>
      <c r="K93" s="60"/>
      <c r="L93" s="60"/>
      <c r="M93" s="60"/>
      <c r="N93" s="60"/>
    </row>
    <row r="94" spans="2:14">
      <c r="B94" s="242" t="s">
        <v>301</v>
      </c>
      <c r="C94" s="244" t="s">
        <v>29</v>
      </c>
      <c r="D94" s="248">
        <f>Предпосылки!E364</f>
        <v>5000</v>
      </c>
      <c r="E94" s="254">
        <f t="shared" si="18"/>
        <v>0.2265234186932471</v>
      </c>
      <c r="F94" s="244">
        <f>Предпосылки!C364</f>
        <v>0</v>
      </c>
      <c r="G94" s="244">
        <f>Предпосылки!D364</f>
        <v>5000</v>
      </c>
      <c r="H94" s="60"/>
      <c r="I94" s="60"/>
      <c r="J94" s="60"/>
      <c r="K94" s="60"/>
      <c r="L94" s="60"/>
      <c r="M94" s="60"/>
      <c r="N94" s="60"/>
    </row>
    <row r="95" spans="2:14">
      <c r="B95" s="255" t="s">
        <v>302</v>
      </c>
      <c r="C95" s="256" t="s">
        <v>29</v>
      </c>
      <c r="D95" s="256">
        <f>SUM(D91:D94)</f>
        <v>22072.773000000001</v>
      </c>
      <c r="E95" s="257">
        <v>1</v>
      </c>
      <c r="F95" s="256">
        <f t="shared" ref="F95:G95" si="19">SUM(F91:F94)</f>
        <v>17072.773000000001</v>
      </c>
      <c r="G95" s="256">
        <f t="shared" si="19"/>
        <v>5000</v>
      </c>
      <c r="H95" s="60"/>
      <c r="I95" s="60"/>
      <c r="J95" s="60"/>
      <c r="K95" s="60"/>
      <c r="L95" s="60"/>
      <c r="M95" s="60"/>
      <c r="N95" s="60"/>
    </row>
    <row r="96" spans="2:14"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</row>
    <row r="97" spans="2:17" ht="21">
      <c r="B97" s="61" t="s">
        <v>303</v>
      </c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</row>
    <row r="98" spans="2:17" ht="15.75">
      <c r="B98" s="62" t="s">
        <v>74</v>
      </c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</row>
    <row r="99" spans="2:17">
      <c r="B99" s="369" t="s">
        <v>91</v>
      </c>
      <c r="C99" s="369" t="s">
        <v>63</v>
      </c>
      <c r="D99" s="369" t="s">
        <v>71</v>
      </c>
      <c r="E99" s="370" t="s">
        <v>92</v>
      </c>
      <c r="F99" s="369">
        <f>F7</f>
        <v>2026</v>
      </c>
      <c r="G99" s="369">
        <f t="shared" ref="G99:N99" si="20">G7</f>
        <v>2027</v>
      </c>
      <c r="H99" s="369">
        <f t="shared" si="20"/>
        <v>2028</v>
      </c>
      <c r="I99" s="369">
        <f t="shared" si="20"/>
        <v>2029</v>
      </c>
      <c r="J99" s="369">
        <f t="shared" si="20"/>
        <v>2030</v>
      </c>
      <c r="K99" s="369">
        <f t="shared" si="20"/>
        <v>2031</v>
      </c>
      <c r="L99" s="369">
        <f t="shared" si="20"/>
        <v>2032</v>
      </c>
      <c r="M99" s="369">
        <f t="shared" si="20"/>
        <v>2033</v>
      </c>
      <c r="N99" s="369">
        <f t="shared" si="20"/>
        <v>2034</v>
      </c>
      <c r="O99" s="60"/>
      <c r="P99" s="60"/>
      <c r="Q99" s="60"/>
    </row>
    <row r="100" spans="2:17">
      <c r="B100" s="369"/>
      <c r="C100" s="369"/>
      <c r="D100" s="369"/>
      <c r="E100" s="370"/>
      <c r="F100" s="369"/>
      <c r="G100" s="369"/>
      <c r="H100" s="369"/>
      <c r="I100" s="369"/>
      <c r="J100" s="369"/>
      <c r="K100" s="369"/>
      <c r="L100" s="369"/>
      <c r="M100" s="369"/>
      <c r="N100" s="369"/>
      <c r="O100" s="60"/>
      <c r="P100" s="60"/>
      <c r="Q100" s="60"/>
    </row>
    <row r="101" spans="2:17">
      <c r="B101" s="242" t="s">
        <v>282</v>
      </c>
      <c r="C101" s="244" t="s">
        <v>29</v>
      </c>
      <c r="D101" s="245">
        <f t="shared" ref="D101:D103" si="21">SUMIF($F$10:$N$10,1,F101:N101)</f>
        <v>-17201.061401741805</v>
      </c>
      <c r="E101" s="245">
        <f t="shared" ref="E101:E103" si="22">SUMIF($F$9:$N$9,1,F101:N101)</f>
        <v>-9703.3230150614763</v>
      </c>
      <c r="F101" s="246">
        <f>'Годовая отчетность'!F135</f>
        <v>7060.8179767418042</v>
      </c>
      <c r="G101" s="246">
        <f>'Годовая отчетность'!G135</f>
        <v>-2008.8883643442623</v>
      </c>
      <c r="H101" s="246">
        <f>'Годовая отчетность'!H135</f>
        <v>-2903.4733643442623</v>
      </c>
      <c r="I101" s="246">
        <f>'Годовая отчетность'!I135</f>
        <v>-3205.1083643442626</v>
      </c>
      <c r="J101" s="246">
        <f>'Годовая отчетность'!J135</f>
        <v>-3528.6733643442631</v>
      </c>
      <c r="K101" s="246">
        <f>'Годовая отчетность'!K135</f>
        <v>-5117.9975344262293</v>
      </c>
      <c r="L101" s="246">
        <f>'Годовая отчетность'!L135</f>
        <v>-5903.5422577868849</v>
      </c>
      <c r="M101" s="246">
        <f>'Годовая отчетность'!M135</f>
        <v>-1594.1961288934426</v>
      </c>
      <c r="N101" s="246">
        <f>'Годовая отчетность'!N135</f>
        <v>0</v>
      </c>
      <c r="O101" s="60"/>
      <c r="P101" s="60"/>
      <c r="Q101" s="60"/>
    </row>
    <row r="102" spans="2:17">
      <c r="B102" s="242" t="s">
        <v>283</v>
      </c>
      <c r="C102" s="244" t="s">
        <v>29</v>
      </c>
      <c r="D102" s="245">
        <f t="shared" si="21"/>
        <v>-30000</v>
      </c>
      <c r="E102" s="245">
        <f t="shared" si="22"/>
        <v>-30000</v>
      </c>
      <c r="F102" s="246">
        <f>'Годовая отчетность'!F153</f>
        <v>-30000</v>
      </c>
      <c r="G102" s="246">
        <f>'Годовая отчетность'!G153</f>
        <v>0</v>
      </c>
      <c r="H102" s="246">
        <f>'Годовая отчетность'!H153</f>
        <v>0</v>
      </c>
      <c r="I102" s="246">
        <f>'Годовая отчетность'!I153</f>
        <v>0</v>
      </c>
      <c r="J102" s="246">
        <f>'Годовая отчетность'!J153</f>
        <v>0</v>
      </c>
      <c r="K102" s="246">
        <f>'Годовая отчетность'!K153</f>
        <v>0</v>
      </c>
      <c r="L102" s="246">
        <f>'Годовая отчетность'!L153</f>
        <v>0</v>
      </c>
      <c r="M102" s="246">
        <f>'Годовая отчетность'!M153</f>
        <v>0</v>
      </c>
      <c r="N102" s="246">
        <f>'Годовая отчетность'!N153</f>
        <v>0</v>
      </c>
      <c r="O102" s="60"/>
      <c r="P102" s="60"/>
      <c r="Q102" s="60"/>
    </row>
    <row r="103" spans="2:17">
      <c r="B103" s="242" t="s">
        <v>284</v>
      </c>
      <c r="C103" s="244" t="s">
        <v>29</v>
      </c>
      <c r="D103" s="245">
        <f t="shared" si="21"/>
        <v>-986.98630136986344</v>
      </c>
      <c r="E103" s="245">
        <f t="shared" si="22"/>
        <v>-986.98630136986344</v>
      </c>
      <c r="F103" s="246">
        <f>'Годовая отчетность'!F171</f>
        <v>4791.7808219178078</v>
      </c>
      <c r="G103" s="246">
        <f>'Годовая отчетность'!G171</f>
        <v>-250</v>
      </c>
      <c r="H103" s="246">
        <f>'Годовая отчетность'!H171</f>
        <v>-250.6849315068493</v>
      </c>
      <c r="I103" s="246">
        <f>'Годовая отчетность'!I171</f>
        <v>-2073.972602739726</v>
      </c>
      <c r="J103" s="246">
        <f>'Годовая отчетность'!J171</f>
        <v>-2573.972602739726</v>
      </c>
      <c r="K103" s="246">
        <f>'Годовая отчетность'!K171</f>
        <v>-630.13698630136992</v>
      </c>
      <c r="L103" s="246">
        <f>'Годовая отчетность'!L171</f>
        <v>0</v>
      </c>
      <c r="M103" s="246">
        <f>'Годовая отчетность'!M171</f>
        <v>0</v>
      </c>
      <c r="N103" s="246">
        <f>'Годовая отчетность'!N171</f>
        <v>0</v>
      </c>
      <c r="O103" s="60"/>
      <c r="P103" s="60"/>
      <c r="Q103" s="60"/>
    </row>
    <row r="104" spans="2:17">
      <c r="B104" s="247" t="s">
        <v>285</v>
      </c>
      <c r="C104" s="248" t="s">
        <v>29</v>
      </c>
      <c r="D104" s="245">
        <f t="shared" ref="D104" si="23">SUMIF($F$10:$N$10,1,F104:N104)</f>
        <v>-48188.047703111675</v>
      </c>
      <c r="E104" s="245">
        <f t="shared" ref="E104" si="24">SUMIF($F$9:$N$9,1,F104:N104)</f>
        <v>-40690.309316431347</v>
      </c>
      <c r="F104" s="245">
        <f>SUM(F101:F103)</f>
        <v>-18147.401201340388</v>
      </c>
      <c r="G104" s="245">
        <f t="shared" ref="G104:N104" si="25">SUM(G101:G103)</f>
        <v>-2258.8883643442623</v>
      </c>
      <c r="H104" s="245">
        <f t="shared" si="25"/>
        <v>-3154.1582958511117</v>
      </c>
      <c r="I104" s="245">
        <f t="shared" si="25"/>
        <v>-5279.0809670839881</v>
      </c>
      <c r="J104" s="245">
        <f t="shared" si="25"/>
        <v>-6102.6459670839886</v>
      </c>
      <c r="K104" s="245">
        <f t="shared" si="25"/>
        <v>-5748.134520727599</v>
      </c>
      <c r="L104" s="245">
        <f t="shared" si="25"/>
        <v>-5903.5422577868849</v>
      </c>
      <c r="M104" s="245">
        <f t="shared" si="25"/>
        <v>-1594.1961288934426</v>
      </c>
      <c r="N104" s="245">
        <f t="shared" si="25"/>
        <v>0</v>
      </c>
      <c r="O104" s="60"/>
      <c r="P104" s="60"/>
      <c r="Q104" s="60"/>
    </row>
    <row r="105" spans="2:17"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</row>
    <row r="106" spans="2:17"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</row>
    <row r="107" spans="2:17"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</row>
    <row r="108" spans="2:17"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</row>
    <row r="109" spans="2:17"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</row>
    <row r="110" spans="2:17"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</row>
    <row r="111" spans="2:17"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</row>
  </sheetData>
  <sheetProtection algorithmName="SHA-512" hashValue="Ydw46MocTF5/rht4nGHorJmwe4yZqh7jVtIPAAnEsj+qE+qkxpAtiXDav3+n5v56uXXfg3ja8N//O1KGvB+h+A==" saltValue="wuty57ciCK82W+/7aJdP5Q==" spinCount="100000" sheet="1" objects="1" scenarios="1"/>
  <mergeCells count="77">
    <mergeCell ref="J99:J100"/>
    <mergeCell ref="I99:I100"/>
    <mergeCell ref="H81:H82"/>
    <mergeCell ref="I81:I82"/>
    <mergeCell ref="G41:G42"/>
    <mergeCell ref="J81:J82"/>
    <mergeCell ref="H41:H42"/>
    <mergeCell ref="I41:I42"/>
    <mergeCell ref="J41:J42"/>
    <mergeCell ref="D73:E73"/>
    <mergeCell ref="D89:D90"/>
    <mergeCell ref="E89:E90"/>
    <mergeCell ref="F89:F90"/>
    <mergeCell ref="D33:D34"/>
    <mergeCell ref="D41:D42"/>
    <mergeCell ref="E41:E42"/>
    <mergeCell ref="B81:B82"/>
    <mergeCell ref="C81:C82"/>
    <mergeCell ref="D81:D82"/>
    <mergeCell ref="G99:G100"/>
    <mergeCell ref="H99:H100"/>
    <mergeCell ref="G89:G90"/>
    <mergeCell ref="B89:B90"/>
    <mergeCell ref="C89:C90"/>
    <mergeCell ref="B99:B100"/>
    <mergeCell ref="C99:C100"/>
    <mergeCell ref="F81:F82"/>
    <mergeCell ref="G81:G82"/>
    <mergeCell ref="D99:D100"/>
    <mergeCell ref="E99:E100"/>
    <mergeCell ref="F99:F100"/>
    <mergeCell ref="E81:E82"/>
    <mergeCell ref="B73:B74"/>
    <mergeCell ref="C73:C74"/>
    <mergeCell ref="C1:C2"/>
    <mergeCell ref="E33:E34"/>
    <mergeCell ref="F33:F34"/>
    <mergeCell ref="F73:G73"/>
    <mergeCell ref="F41:F42"/>
    <mergeCell ref="B33:B34"/>
    <mergeCell ref="C33:C34"/>
    <mergeCell ref="B41:B42"/>
    <mergeCell ref="C41:C42"/>
    <mergeCell ref="G33:G34"/>
    <mergeCell ref="D1:N2"/>
    <mergeCell ref="H33:H34"/>
    <mergeCell ref="I33:I34"/>
    <mergeCell ref="J33:J34"/>
    <mergeCell ref="N81:N82"/>
    <mergeCell ref="N41:N42"/>
    <mergeCell ref="N33:N34"/>
    <mergeCell ref="N99:N100"/>
    <mergeCell ref="K33:K34"/>
    <mergeCell ref="K41:K42"/>
    <mergeCell ref="K81:K82"/>
    <mergeCell ref="M81:M82"/>
    <mergeCell ref="K99:K100"/>
    <mergeCell ref="L99:L100"/>
    <mergeCell ref="M99:M100"/>
    <mergeCell ref="L33:L34"/>
    <mergeCell ref="M33:M34"/>
    <mergeCell ref="L41:L42"/>
    <mergeCell ref="M41:M42"/>
    <mergeCell ref="L81:L82"/>
    <mergeCell ref="B7:B8"/>
    <mergeCell ref="C7:C8"/>
    <mergeCell ref="D7:D8"/>
    <mergeCell ref="E7:E8"/>
    <mergeCell ref="F7:F8"/>
    <mergeCell ref="L7:L8"/>
    <mergeCell ref="M7:M8"/>
    <mergeCell ref="N7:N8"/>
    <mergeCell ref="G7:G8"/>
    <mergeCell ref="H7:H8"/>
    <mergeCell ref="I7:I8"/>
    <mergeCell ref="J7:J8"/>
    <mergeCell ref="K7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11</vt:i4>
      </vt:variant>
    </vt:vector>
  </HeadingPairs>
  <TitlesOfParts>
    <vt:vector size="21" baseType="lpstr">
      <vt:lpstr>Титульный лист</vt:lpstr>
      <vt:lpstr>Программы финансирования</vt:lpstr>
      <vt:lpstr>справочник</vt:lpstr>
      <vt:lpstr>Руководство</vt:lpstr>
      <vt:lpstr>Параметры займа</vt:lpstr>
      <vt:lpstr>Предпосылки</vt:lpstr>
      <vt:lpstr>Квартальная отчетность</vt:lpstr>
      <vt:lpstr>Годовая отчетность</vt:lpstr>
      <vt:lpstr>выводы</vt:lpstr>
      <vt:lpstr>проверка</vt:lpstr>
      <vt:lpstr>Дата_погашения_Займа</vt:lpstr>
      <vt:lpstr>Дата_получения_Займа</vt:lpstr>
      <vt:lpstr>'Годовая отчетность'!Заголовки_для_печати</vt:lpstr>
      <vt:lpstr>затраты</vt:lpstr>
      <vt:lpstr>Кварталов_в_году</vt:lpstr>
      <vt:lpstr>направления</vt:lpstr>
      <vt:lpstr>'Годовая отчетность'!Область_печати</vt:lpstr>
      <vt:lpstr>период_год</vt:lpstr>
      <vt:lpstr>Программа</vt:lpstr>
      <vt:lpstr>СН</vt:lpstr>
      <vt:lpstr>Ставки_НДС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Семакова</cp:lastModifiedBy>
  <cp:lastPrinted>2025-08-20T07:18:34Z</cp:lastPrinted>
  <dcterms:created xsi:type="dcterms:W3CDTF">2025-08-08T12:26:00Z</dcterms:created>
  <dcterms:modified xsi:type="dcterms:W3CDTF">2026-03-03T12:06:47Z</dcterms:modified>
</cp:coreProperties>
</file>